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03_Cerekvice_DPS\"/>
    </mc:Choice>
  </mc:AlternateContent>
  <xr:revisionPtr revIDLastSave="0" documentId="13_ncr:1_{C1F8CDA2-013C-43BA-9EA2-86A89AA56266}" xr6:coauthVersionLast="47" xr6:coauthVersionMax="47" xr10:uidLastSave="{00000000-0000-0000-0000-000000000000}"/>
  <workbookProtection workbookAlgorithmName="SHA-512" workbookHashValue="Th7aoNEsTY38farqhpKlB8bTBL1PDFdFmXF1pjrOjjji6+ULGqg5ACwTJtIBopi4Fz2bWIzYX6cPg8OHxOTtaQ==" workbookSaltValue="lEaJ3Q+nK8zDooXjyMlygA==" workbookSpinCount="100000" lockStructure="1"/>
  <bookViews>
    <workbookView xWindow="-38520" yWindow="-165" windowWidth="38640" windowHeight="211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17" r:id="rId4"/>
    <sheet name="SO04" sheetId="22" r:id="rId5"/>
    <sheet name="IO01" sheetId="23" r:id="rId6"/>
    <sheet name="IO02" sheetId="24" r:id="rId7"/>
    <sheet name="IO03" sheetId="25" r:id="rId8"/>
    <sheet name="VN + ON" sheetId="10" r:id="rId9"/>
  </sheets>
  <definedNames>
    <definedName name="_">#REF!</definedName>
    <definedName name="_SO02">Rekapitulace!#REF!</definedName>
    <definedName name="_SO03">Rekapitulace!#REF!</definedName>
    <definedName name="_xlnm.Print_Titles" localSheetId="5">'IO01'!$108:$108</definedName>
    <definedName name="_xlnm.Print_Titles" localSheetId="6">'IO02'!$108:$108</definedName>
    <definedName name="_xlnm.Print_Titles" localSheetId="7">'IO03'!$108:$108</definedName>
    <definedName name="_xlnm.Print_Titles" localSheetId="0">Rekapitulace!$84:$84</definedName>
    <definedName name="_xlnm.Print_Titles" localSheetId="1">'SO01'!$111:$111</definedName>
    <definedName name="_xlnm.Print_Titles" localSheetId="2">'SO02'!$108:$108</definedName>
    <definedName name="_xlnm.Print_Titles" localSheetId="3">'SO03'!$109:$109</definedName>
    <definedName name="_xlnm.Print_Titles" localSheetId="4">'SO04'!$109:$109</definedName>
    <definedName name="_xlnm.Print_Titles" localSheetId="8">'VN + ON'!$108:$108</definedName>
    <definedName name="_xlnm.Print_Area" localSheetId="5">'IO01'!$B$3:$R$70,'IO01'!$B$74:$R$92,'IO01'!$B$96:$R$121</definedName>
    <definedName name="_xlnm.Print_Area" localSheetId="6">'IO02'!$B$3:$R$70,'IO02'!$B$74:$R$92,'IO02'!$B$96:$R$123</definedName>
    <definedName name="_xlnm.Print_Area" localSheetId="7">'IO03'!$B$3:$R$70,'IO03'!$B$74:$R$92,'IO03'!$B$96:$R$125</definedName>
    <definedName name="_xlnm.Print_Area" localSheetId="0">Rekapitulace!$B$3:$AQ$70,Rekapitulace!$B$74:$AQ$96</definedName>
    <definedName name="_xlnm.Print_Area" localSheetId="1">'SO01'!$B$3:$R$70,'SO01'!$B$74:$R$95,'SO01'!$B$99:$R$153</definedName>
    <definedName name="_xlnm.Print_Area" localSheetId="2">'SO02'!$B$3:$R$70,'SO02'!$B$74:$R$92,'SO02'!$B$96:$R$115</definedName>
    <definedName name="_xlnm.Print_Area" localSheetId="3">'SO03'!$B$3:$R$70,'SO03'!$B$74:$R$93,'SO03'!$B$97:$R$119</definedName>
    <definedName name="_xlnm.Print_Area" localSheetId="4">'SO04'!$B$3:$R$70,'SO04'!$B$74:$R$93,'SO04'!$B$97:$R$117</definedName>
    <definedName name="_xlnm.Print_Area" localSheetId="8">'VN + ON'!$B$3:$R$71,'VN + ON'!$B$75:$R$93,'VN + ON'!$B$97:$R$137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0" i="17" l="1"/>
  <c r="K120" i="2"/>
  <c r="K123" i="2"/>
  <c r="K116" i="2"/>
  <c r="C116" i="22"/>
  <c r="N112" i="21" l="1"/>
  <c r="N115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C118" i="17"/>
  <c r="C126" i="2"/>
  <c r="N124" i="25"/>
  <c r="N123" i="25" s="1"/>
  <c r="C124" i="25"/>
  <c r="AA118" i="17"/>
  <c r="Y118" i="17"/>
  <c r="W118" i="17"/>
  <c r="N118" i="17"/>
  <c r="D92" i="2"/>
  <c r="N152" i="2"/>
  <c r="N151" i="2" s="1"/>
  <c r="N150" i="2" s="1"/>
  <c r="N92" i="2" s="1"/>
  <c r="F7" i="10"/>
  <c r="F7" i="25"/>
  <c r="F100" i="25" s="1"/>
  <c r="F7" i="24"/>
  <c r="F100" i="24" s="1"/>
  <c r="F7" i="23"/>
  <c r="F78" i="23" s="1"/>
  <c r="F7" i="22"/>
  <c r="F101" i="22" s="1"/>
  <c r="F7" i="2"/>
  <c r="C119" i="23"/>
  <c r="C117" i="23"/>
  <c r="C115" i="23"/>
  <c r="C121" i="24"/>
  <c r="C117" i="24"/>
  <c r="C119" i="24"/>
  <c r="C115" i="24"/>
  <c r="AN8" i="1"/>
  <c r="O10" i="25" s="1"/>
  <c r="M103" i="25" s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F8" i="22"/>
  <c r="F102" i="22" s="1"/>
  <c r="N120" i="23"/>
  <c r="N119" i="23"/>
  <c r="N117" i="23"/>
  <c r="N116" i="23" s="1"/>
  <c r="N149" i="2"/>
  <c r="N148" i="2" s="1"/>
  <c r="N126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M83" i="22" s="1"/>
  <c r="O18" i="22"/>
  <c r="O16" i="22"/>
  <c r="E16" i="22"/>
  <c r="F107" i="22" s="1"/>
  <c r="O15" i="22"/>
  <c r="O13" i="22"/>
  <c r="E13" i="22"/>
  <c r="F106" i="22" s="1"/>
  <c r="O12" i="22"/>
  <c r="F6" i="22"/>
  <c r="F100" i="22" s="1"/>
  <c r="C113" i="21"/>
  <c r="N147" i="2"/>
  <c r="N146" i="2" s="1"/>
  <c r="N144" i="2"/>
  <c r="N141" i="2"/>
  <c r="N137" i="2"/>
  <c r="N135" i="2"/>
  <c r="N133" i="2"/>
  <c r="N129" i="2"/>
  <c r="N127" i="2"/>
  <c r="N123" i="2"/>
  <c r="N120" i="2"/>
  <c r="N116" i="2"/>
  <c r="N117" i="17"/>
  <c r="N136" i="10"/>
  <c r="N135" i="10"/>
  <c r="N134" i="10" s="1"/>
  <c r="N130" i="10"/>
  <c r="N131" i="10"/>
  <c r="N132" i="10"/>
  <c r="N114" i="17"/>
  <c r="C114" i="17"/>
  <c r="C117" i="17" s="1"/>
  <c r="AA113" i="17"/>
  <c r="Y113" i="17"/>
  <c r="W113" i="17"/>
  <c r="N113" i="17"/>
  <c r="N111" i="10" l="1"/>
  <c r="N120" i="24"/>
  <c r="N111" i="24"/>
  <c r="N116" i="17"/>
  <c r="N115" i="17" s="1"/>
  <c r="N90" i="17" s="1"/>
  <c r="N120" i="25"/>
  <c r="N111" i="25"/>
  <c r="N112" i="22"/>
  <c r="N111" i="22" s="1"/>
  <c r="N112" i="17"/>
  <c r="N111" i="17" s="1"/>
  <c r="N133" i="10"/>
  <c r="N90" i="10" s="1"/>
  <c r="O10" i="22"/>
  <c r="M81" i="22" s="1"/>
  <c r="O10" i="23"/>
  <c r="M81" i="23" s="1"/>
  <c r="O10" i="24"/>
  <c r="M81" i="24" s="1"/>
  <c r="C122" i="25"/>
  <c r="N118" i="23"/>
  <c r="N111" i="23"/>
  <c r="C120" i="23"/>
  <c r="M84" i="22"/>
  <c r="F84" i="23"/>
  <c r="F99" i="24"/>
  <c r="M84" i="25"/>
  <c r="F100" i="23"/>
  <c r="F78" i="24"/>
  <c r="F99" i="25"/>
  <c r="F101" i="23"/>
  <c r="M106" i="24"/>
  <c r="M106" i="22"/>
  <c r="F84" i="22"/>
  <c r="M81" i="25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7" i="2"/>
  <c r="Y127" i="2"/>
  <c r="W127" i="2"/>
  <c r="N122" i="2"/>
  <c r="AA120" i="2"/>
  <c r="Y120" i="2"/>
  <c r="W120" i="2"/>
  <c r="N119" i="2"/>
  <c r="N118" i="2"/>
  <c r="N128" i="2"/>
  <c r="W131" i="2"/>
  <c r="Y131" i="2"/>
  <c r="AA131" i="2"/>
  <c r="N132" i="2"/>
  <c r="N136" i="2"/>
  <c r="N140" i="2"/>
  <c r="N143" i="2"/>
  <c r="N89" i="22" l="1"/>
  <c r="L92" i="22" s="1"/>
  <c r="N110" i="22"/>
  <c r="N88" i="22" s="1"/>
  <c r="M25" i="22" s="1"/>
  <c r="M27" i="22" s="1"/>
  <c r="N88" i="17"/>
  <c r="N110" i="25"/>
  <c r="M109" i="25" s="1"/>
  <c r="N88" i="25" s="1"/>
  <c r="M25" i="25" s="1"/>
  <c r="M27" i="25" s="1"/>
  <c r="AL93" i="1" s="1"/>
  <c r="N89" i="17"/>
  <c r="L92" i="17" s="1"/>
  <c r="N145" i="2"/>
  <c r="M103" i="24"/>
  <c r="M104" i="22"/>
  <c r="M103" i="23"/>
  <c r="N110" i="24"/>
  <c r="N110" i="23"/>
  <c r="N89" i="23" s="1"/>
  <c r="L91" i="23" s="1"/>
  <c r="N134" i="2"/>
  <c r="N117" i="2"/>
  <c r="N131" i="2"/>
  <c r="N139" i="2"/>
  <c r="N142" i="2"/>
  <c r="N89" i="25" l="1"/>
  <c r="L91" i="25" s="1"/>
  <c r="N91" i="2"/>
  <c r="N130" i="2"/>
  <c r="N89" i="2" s="1"/>
  <c r="N138" i="2"/>
  <c r="N90" i="2" s="1"/>
  <c r="H29" i="22"/>
  <c r="M29" i="22" s="1"/>
  <c r="L35" i="22" s="1"/>
  <c r="AN90" i="1" s="1"/>
  <c r="AL90" i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3" i="1" s="1"/>
  <c r="H29" i="23" l="1"/>
  <c r="M29" i="23" s="1"/>
  <c r="L35" i="23" s="1"/>
  <c r="AN91" i="1" s="1"/>
  <c r="AL91" i="1"/>
  <c r="M27" i="24"/>
  <c r="H29" i="24" s="1"/>
  <c r="M29" i="24" s="1"/>
  <c r="AL92" i="1"/>
  <c r="O10" i="17"/>
  <c r="L35" i="24" l="1"/>
  <c r="AN92" i="1" s="1"/>
  <c r="F8" i="2"/>
  <c r="C114" i="21"/>
  <c r="N114" i="21"/>
  <c r="N113" i="21"/>
  <c r="D90" i="17"/>
  <c r="AA117" i="17"/>
  <c r="Y117" i="17"/>
  <c r="W117" i="17"/>
  <c r="N111" i="21" l="1"/>
  <c r="N110" i="21" s="1"/>
  <c r="N89" i="21" s="1"/>
  <c r="N109" i="21" l="1"/>
  <c r="F7" i="17"/>
  <c r="N125" i="2"/>
  <c r="N124" i="2" s="1"/>
  <c r="N121" i="2"/>
  <c r="F8" i="17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4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3" i="2" l="1"/>
  <c r="N112" i="2" s="1"/>
  <c r="D89" i="17"/>
  <c r="N88" i="2" l="1"/>
  <c r="N87" i="2" s="1"/>
  <c r="L94" i="2"/>
  <c r="L91" i="21"/>
  <c r="N88" i="21"/>
  <c r="M25" i="21" s="1"/>
  <c r="M27" i="21" s="1"/>
  <c r="AL88" i="1" s="1"/>
  <c r="H29" i="21" l="1"/>
  <c r="M29" i="21" s="1"/>
  <c r="L35" i="21" s="1"/>
  <c r="AN88" i="1" s="1"/>
  <c r="D88" i="2" l="1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F102" i="17" l="1"/>
  <c r="F79" i="17"/>
  <c r="O22" i="17"/>
  <c r="E22" i="17"/>
  <c r="M107" i="17" s="1"/>
  <c r="O21" i="17"/>
  <c r="O19" i="17"/>
  <c r="E19" i="17"/>
  <c r="M106" i="17" s="1"/>
  <c r="O18" i="17"/>
  <c r="O16" i="17"/>
  <c r="E16" i="17"/>
  <c r="F107" i="17" s="1"/>
  <c r="O15" i="17"/>
  <c r="O13" i="17"/>
  <c r="E13" i="17"/>
  <c r="F106" i="17" s="1"/>
  <c r="O12" i="17"/>
  <c r="M104" i="17"/>
  <c r="F78" i="17"/>
  <c r="F6" i="17"/>
  <c r="F77" i="17" s="1"/>
  <c r="M84" i="17" l="1"/>
  <c r="F101" i="17"/>
  <c r="F100" i="17"/>
  <c r="W110" i="17"/>
  <c r="AA110" i="17"/>
  <c r="H33" i="17"/>
  <c r="Y110" i="17"/>
  <c r="H31" i="17"/>
  <c r="H32" i="17"/>
  <c r="M81" i="17"/>
  <c r="F83" i="17"/>
  <c r="M83" i="17"/>
  <c r="F84" i="17"/>
  <c r="L79" i="1" l="1"/>
  <c r="F10" i="23" l="1"/>
  <c r="F10" i="22"/>
  <c r="F10" i="25"/>
  <c r="F10" i="24"/>
  <c r="F10" i="21"/>
  <c r="F81" i="21" s="1"/>
  <c r="M25" i="17"/>
  <c r="M27" i="17" s="1"/>
  <c r="AL89" i="1" s="1"/>
  <c r="F10" i="17"/>
  <c r="AA123" i="2"/>
  <c r="Y123" i="2"/>
  <c r="W123" i="2"/>
  <c r="C116" i="2"/>
  <c r="C118" i="2" s="1"/>
  <c r="C119" i="2" s="1"/>
  <c r="C120" i="2" s="1"/>
  <c r="C122" i="2" s="1"/>
  <c r="F8" i="10"/>
  <c r="F101" i="10" s="1"/>
  <c r="F104" i="2"/>
  <c r="F78" i="2"/>
  <c r="F10" i="10"/>
  <c r="F103" i="10" s="1"/>
  <c r="AM79" i="1"/>
  <c r="M106" i="2"/>
  <c r="F6" i="2"/>
  <c r="F102" i="2" s="1"/>
  <c r="O12" i="2"/>
  <c r="E13" i="2"/>
  <c r="F108" i="2" s="1"/>
  <c r="O13" i="2"/>
  <c r="O15" i="2"/>
  <c r="E16" i="2"/>
  <c r="F84" i="2" s="1"/>
  <c r="O18" i="2"/>
  <c r="E19" i="2"/>
  <c r="M108" i="2" s="1"/>
  <c r="O19" i="2"/>
  <c r="O21" i="2"/>
  <c r="E22" i="2"/>
  <c r="M84" i="2" s="1"/>
  <c r="O22" i="2"/>
  <c r="W115" i="2"/>
  <c r="Y115" i="2"/>
  <c r="AA115" i="2"/>
  <c r="W116" i="2"/>
  <c r="Y116" i="2"/>
  <c r="AA116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5" i="1"/>
  <c r="CA95" i="1"/>
  <c r="CB95" i="1"/>
  <c r="CC95" i="1"/>
  <c r="CE95" i="1"/>
  <c r="CF95" i="1"/>
  <c r="CG95" i="1"/>
  <c r="CH95" i="1"/>
  <c r="CI95" i="1"/>
  <c r="CJ95" i="1"/>
  <c r="CK95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K95" i="1"/>
  <c r="BY95" i="1" s="1"/>
  <c r="CD95" i="1"/>
  <c r="BK97" i="1"/>
  <c r="BY97" i="1" s="1"/>
  <c r="CD97" i="1"/>
  <c r="BK96" i="1"/>
  <c r="BY96" i="1" s="1"/>
  <c r="CD96" i="1"/>
  <c r="BH87" i="1"/>
  <c r="F81" i="25" l="1"/>
  <c r="F103" i="25"/>
  <c r="F81" i="22"/>
  <c r="F104" i="22"/>
  <c r="F81" i="24"/>
  <c r="F103" i="24"/>
  <c r="F81" i="23"/>
  <c r="F103" i="23"/>
  <c r="F103" i="21"/>
  <c r="BH86" i="1"/>
  <c r="F104" i="17"/>
  <c r="F81" i="17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C123" i="2"/>
  <c r="H29" i="17"/>
  <c r="M29" i="17" s="1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09" i="2"/>
  <c r="F81" i="10"/>
  <c r="M81" i="2"/>
  <c r="F100" i="10"/>
  <c r="F77" i="2"/>
  <c r="M105" i="10"/>
  <c r="F103" i="2"/>
  <c r="H32" i="2"/>
  <c r="BR87" i="1" s="1"/>
  <c r="BN87" i="1" s="1"/>
  <c r="H33" i="2"/>
  <c r="BS87" i="1" s="1"/>
  <c r="H31" i="2"/>
  <c r="BQ87" i="1" s="1"/>
  <c r="BM87" i="1" s="1"/>
  <c r="BP87" i="1"/>
  <c r="BP86" i="1" s="1"/>
  <c r="BL86" i="1" s="1"/>
  <c r="M83" i="2"/>
  <c r="F109" i="2"/>
  <c r="F10" i="2"/>
  <c r="F81" i="2" s="1"/>
  <c r="L35" i="17" l="1"/>
  <c r="AN89" i="1" s="1"/>
  <c r="C125" i="2"/>
  <c r="BS86" i="1"/>
  <c r="W31" i="1" s="1"/>
  <c r="BR86" i="1"/>
  <c r="W30" i="1" s="1"/>
  <c r="BL87" i="1"/>
  <c r="BQ86" i="1"/>
  <c r="BM86" i="1" s="1"/>
  <c r="F106" i="2"/>
  <c r="M25" i="10" l="1"/>
  <c r="M27" i="10" s="1"/>
  <c r="AL94" i="1" s="1"/>
  <c r="W29" i="1"/>
  <c r="BN86" i="1"/>
  <c r="C127" i="2" l="1"/>
  <c r="C129" i="2" s="1"/>
  <c r="C132" i="2" s="1"/>
  <c r="C133" i="2" s="1"/>
  <c r="C135" i="2" s="1"/>
  <c r="C137" i="2" s="1"/>
  <c r="H29" i="10"/>
  <c r="M29" i="10" s="1"/>
  <c r="L35" i="10" s="1"/>
  <c r="M25" i="2"/>
  <c r="M27" i="2" s="1"/>
  <c r="AL87" i="1" s="1"/>
  <c r="AG86" i="1" s="1"/>
  <c r="AG95" i="1" s="1"/>
  <c r="C140" i="2" l="1"/>
  <c r="C141" i="2" s="1"/>
  <c r="H29" i="2"/>
  <c r="M29" i="2" s="1"/>
  <c r="L35" i="2" s="1"/>
  <c r="AN94" i="1"/>
  <c r="C143" i="2" l="1"/>
  <c r="C144" i="2" s="1"/>
  <c r="BO87" i="1"/>
  <c r="BK87" i="1" s="1"/>
  <c r="BI87" i="1" s="1"/>
  <c r="AN87" i="1"/>
  <c r="AN86" i="1" s="1"/>
  <c r="AN95" i="1" s="1"/>
  <c r="C147" i="2" l="1"/>
  <c r="C149" i="2" s="1"/>
  <c r="C152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AA114" i="2"/>
  <c r="AA113" i="2" s="1"/>
  <c r="AA112" i="2" s="1"/>
  <c r="AA128" i="2"/>
  <c r="AA124" i="2"/>
  <c r="AA121" i="2"/>
  <c r="Y114" i="2" l="1"/>
  <c r="Y113" i="2" s="1"/>
  <c r="Y112" i="2" s="1"/>
  <c r="Y124" i="2"/>
  <c r="Y128" i="2"/>
  <c r="Y121" i="2"/>
  <c r="W114" i="2"/>
  <c r="W113" i="2" s="1"/>
  <c r="W112" i="2" s="1"/>
  <c r="W128" i="2"/>
  <c r="W121" i="2"/>
  <c r="W124" i="2"/>
</calcChain>
</file>

<file path=xl/sharedStrings.xml><?xml version="1.0" encoding="utf-8"?>
<sst xmlns="http://schemas.openxmlformats.org/spreadsheetml/2006/main" count="1242" uniqueCount="246">
  <si>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</si>
  <si>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</si>
  <si>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</si>
  <si>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</si>
  <si>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</si>
  <si>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</si>
  <si>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</si>
  <si>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</si>
  <si>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</si>
  <si>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</si>
  <si>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</si>
  <si>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</si>
  <si>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</si>
  <si>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</si>
  <si>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</si>
  <si>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</si>
  <si>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</si>
  <si>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</si>
  <si>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</si>
  <si>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</si>
  <si>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</si>
  <si>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</si>
  <si>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</si>
  <si>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</si>
  <si>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</si>
  <si>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</si>
  <si>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</si>
  <si>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</si>
  <si>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</si>
  <si>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</si>
  <si>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</si>
  <si>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</si>
  <si>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</si>
  <si>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</si>
  <si>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</si>
  <si>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</si>
  <si>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</si>
  <si>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</si>
  <si>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</si>
  <si>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</si>
  <si>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</si>
  <si>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</si>
  <si>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</si>
  <si>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</si>
  <si>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</si>
  <si>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</si>
  <si>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</si>
  <si>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</si>
  <si>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</si>
  <si>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</si>
  <si>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</si>
  <si>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</si>
  <si>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</si>
  <si>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</si>
  <si>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</si>
  <si>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</si>
  <si>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</si>
  <si>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</si>
  <si>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</si>
  <si>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</si>
  <si>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</si>
  <si>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</si>
  <si>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</si>
  <si>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</si>
  <si>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</si>
  <si>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</si>
  <si>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</si>
  <si>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</si>
  <si>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</si>
  <si>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</si>
  <si>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</si>
  <si>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</si>
  <si>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</si>
  <si>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</si>
  <si>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</si>
  <si>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</si>
  <si>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</si>
  <si>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</si>
  <si>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</si>
  <si>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</si>
  <si>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</si>
  <si>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</si>
  <si>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</si>
  <si>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</si>
  <si>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</si>
  <si>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</si>
  <si>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</si>
  <si>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</si>
  <si>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</si>
  <si>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</si>
  <si>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</si>
  <si>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</si>
  <si>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</si>
  <si>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</si>
  <si>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</si>
  <si>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</si>
  <si>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</si>
  <si>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</si>
  <si>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</si>
  <si>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</si>
  <si>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</si>
  <si>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</si>
  <si>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</si>
  <si>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</si>
  <si>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</si>
  <si>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</si>
  <si>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</si>
  <si>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</si>
  <si>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</si>
  <si>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</si>
  <si>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</si>
  <si>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</si>
  <si>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</si>
  <si>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</si>
  <si>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</si>
  <si>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</si>
  <si>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</si>
  <si>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</si>
  <si>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</si>
  <si>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</si>
  <si>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</si>
  <si>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</si>
  <si>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</si>
  <si>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</si>
  <si>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</si>
  <si>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</si>
  <si>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</si>
  <si>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</si>
  <si>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</si>
  <si>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</si>
  <si>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</si>
  <si>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</si>
  <si>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</si>
  <si>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</si>
  <si>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</si>
  <si>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</si>
  <si>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</si>
  <si>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</si>
  <si>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</si>
  <si>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</si>
  <si>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</si>
  <si>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</si>
  <si>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</si>
  <si>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</si>
  <si>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</si>
  <si>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</si>
  <si>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</si>
  <si>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</si>
  <si>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</si>
  <si>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</si>
  <si>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</si>
  <si>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</si>
  <si>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</si>
  <si>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</si>
  <si>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</si>
  <si>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</si>
  <si>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</si>
  <si>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</si>
  <si>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</si>
  <si>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</si>
  <si>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</si>
  <si>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</si>
  <si>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</si>
  <si>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</si>
  <si>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</si>
  <si>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</si>
  <si>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</si>
  <si>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</si>
  <si>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</si>
  <si>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</si>
  <si>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Instalace nové fotovoltaické elektrárny s výkonem 1 765,8 kWp v areálu Cerekvice nad Bystřicí společnosti ČEPRO, a.s.</t>
  </si>
  <si>
    <t>ČEPRO, a.s.</t>
  </si>
  <si>
    <t>Cerekvice nad Bystřicí</t>
  </si>
  <si>
    <t>Instalace pozemní FVE o výkonu 1 765,8 kWp na pozemcích v areálu p. č. 332/1; p. č. 324/6; p. č. 324/3 a p. č. 326</t>
  </si>
  <si>
    <t>Umístění nové prefabrikované trafostanice o výkonu 2 000 kVA, včetně vybavení</t>
  </si>
  <si>
    <t>Oplocení včetně vrat a elektronické zabezpečovací služby a osvětlení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</si>
  <si>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</si>
  <si>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</si>
  <si>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</si>
  <si>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</si>
  <si>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</si>
  <si>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</si>
  <si>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</si>
  <si>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</si>
  <si>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>Rozvaděče RDC 1-14 pro jednotlivé části FVE (nástěnné – skříňové); krytí IP66, včetně montáže, usazení, oživení a výstroje dle PD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</si>
  <si>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</si>
  <si>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</si>
  <si>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</si>
  <si>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 xml:space="preserve">Střídač 50 000 VA, nominální výstupní výkon 50 000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</si>
  <si>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</si>
  <si>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</si>
  <si>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</si>
  <si>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Vytvoření jednotlivých hlavních ochranných přípojnic MET 1-14 pro jednotlivé hnízda FVE, včetně jejich osazení vybavení a dopojení na nově budovanou zemnící soustavu</t>
  </si>
  <si>
    <t>Vodiče NN a VN (např. CYA) určené pro pospojování a zemnění; dle požadavku projektu; včetně montáže, uložení a zapojení</t>
  </si>
  <si>
    <t>Vytvoření oplocení nově budované pozemnní FVE</t>
  </si>
  <si>
    <t>Vytvoření systému osvětlení nově budované pozemní FVE</t>
  </si>
  <si>
    <t xml:space="preserve"> 01 - Oplocení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</si>
  <si>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</si>
  <si>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</si>
  <si>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</si>
  <si>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</si>
  <si>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</si>
  <si>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</si>
  <si>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 xml:space="preserve">Vytvoření dvou přistupových bodu do prostoru FVE dle PD, v podobě motorizovaných vrat, včetně veškerého materiálu, motorového pohonu, souvisejicích prací, připojení EE a montažních prací 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</si>
  <si>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</si>
  <si>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</si>
  <si>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</si>
  <si>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</si>
  <si>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</si>
  <si>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</si>
  <si>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</si>
  <si>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</si>
  <si>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</si>
  <si>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</si>
  <si>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</si>
  <si>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</si>
  <si>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</si>
  <si>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</si>
  <si>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</si>
  <si>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</si>
  <si>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</si>
  <si>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</si>
  <si>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</si>
  <si>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Úprava pole č. 1.5 stávajícího hlavního VN rozvaděče areálu, dle platných předpisů, legislativy a ČSN, včetně elektroinstalace, materiálu a práce  </t>
  </si>
  <si>
    <t>05 - Úprava stávajícího VN rozvaděče</t>
  </si>
  <si>
    <t xml:space="preserve">Hloubení kabelových rýh dle PD, včetně techniky a práce 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</si>
  <si>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</si>
  <si>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</si>
  <si>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</si>
  <si>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>Trafostanice s možností osazení transformátoru do 1 600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1 600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</si>
  <si>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</si>
  <si>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 xml:space="preserve">Vytvoření nového oplocení pozemní FV elektrárny dle PD, včetně práce, veškerého materiálů, napínacích prvků, včetně ostnatého drátu, zabetonování jednotlivých sloupků a montažních prací 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</si>
  <si>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</si>
  <si>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</si>
  <si>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</si>
  <si>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</si>
  <si>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</si>
  <si>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</si>
  <si>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</si>
  <si>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</si>
  <si>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Úprava terénu zájmového uzemí do základní nivelety s odkopem 5 cm prostřednictvím adekvátní techniky (např. GRADER) dle PD, včetně práce a uskladnění bez zatížení odpadním materiálem</t>
  </si>
  <si>
    <t>Silové kabely AC do 35kV dle PD, včetně montáže (zapojení a uložení) a vedení do místa připojení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</si>
  <si>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</si>
  <si>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</si>
  <si>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1 765,8 kWp v areálu Cerekvice nad Bystřicí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</si>
  <si>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Fotovoltaický panel 545 Wp, výkon 545 Wp (za STC), nominální účinnost 21,10 %, monokrystalický, rozměr 2 278 x 1 134 x 35 mm, včetně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</si>
</sst>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27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28" fillId="0" borderId="24" xfId="6" applyFont="1" applyBorder="1" applyAlignment="1">
      <alignment horizontal="center" vertical="center"/>
    </xf>
    <xf numFmtId="0" fontId="45" fillId="0" borderId="0" xfId="0" applyFont="1" applyAlignment="1" applyProtection="1">
      <alignment horizontal="justify" vertical="center"/>
    </xf>
    <xf numFmtId="0" fontId="46" fillId="6" borderId="0" xfId="0" applyFont="1" applyFill="1" applyAlignment="1" applyProtection="1">
      <alignment horizontal="justify" vertical="center"/>
    </xf>
    <xf numFmtId="0" fontId="44" fillId="6" borderId="0" xfId="0" applyFont="1" applyFill="1" applyAlignment="1" applyProtection="1">
      <alignment horizontal="justify" vertical="center" wrapText="1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0" fontId="23" fillId="0" borderId="0" xfId="0" applyFont="1" applyAlignment="1" applyProtection="1">
      <alignment horizontal="justify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23" fillId="5" borderId="0" xfId="0" applyFont="1" applyFill="1" applyAlignment="1" applyProtection="1">
      <alignment horizontal="justify"/>
    </xf>
    <xf numFmtId="0" fontId="46" fillId="5" borderId="0" xfId="0" applyFont="1" applyFill="1" applyAlignment="1" applyProtection="1">
      <alignment horizontal="justify" vertical="center"/>
    </xf>
    <xf numFmtId="0" fontId="44" fillId="5" borderId="0" xfId="0" applyFont="1" applyFill="1" applyAlignment="1" applyProtection="1">
      <alignment horizontal="justify" vertical="center" wrapText="1"/>
    </xf>
    <xf numFmtId="167" fontId="0" fillId="7" borderId="24" xfId="0" applyNumberFormat="1" applyFill="1" applyBorder="1" applyAlignment="1">
      <alignment horizontal="right" vertical="center"/>
      <protection locked="0"/>
    </xf>
    <xf numFmtId="0" fontId="40" fillId="0" borderId="0" xfId="0" applyFont="1" applyAlignment="1" applyProtection="1">
      <alignment horizontal="left" vertical="center" wrapText="1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12" fillId="0" borderId="0" xfId="0" applyNumberFormat="1" applyFont="1" applyAlignment="1" applyProtection="1">
      <alignment horizontal="righ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0" fontId="33" fillId="4" borderId="0" xfId="0" applyFont="1" applyFill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center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39" fontId="24" fillId="0" borderId="11" xfId="0" applyNumberFormat="1" applyFont="1" applyBorder="1" applyAlignment="1" applyProtection="1">
      <alignment horizontal="right"/>
    </xf>
    <xf numFmtId="39" fontId="23" fillId="0" borderId="16" xfId="0" applyNumberFormat="1" applyFont="1" applyBorder="1" applyAlignment="1" applyProtection="1">
      <alignment horizontal="right"/>
    </xf>
    <xf numFmtId="0" fontId="44" fillId="5" borderId="36" xfId="0" applyFont="1" applyFill="1" applyBorder="1" applyAlignment="1" applyProtection="1">
      <alignment horizontal="justify" vertical="center" wrapText="1"/>
    </xf>
    <xf numFmtId="0" fontId="44" fillId="5" borderId="37" xfId="0" applyFont="1" applyFill="1" applyBorder="1" applyAlignment="1" applyProtection="1">
      <alignment horizontal="justify" vertical="center" wrapText="1"/>
    </xf>
    <xf numFmtId="0" fontId="44" fillId="5" borderId="38" xfId="0" applyFont="1" applyFill="1" applyBorder="1" applyAlignment="1" applyProtection="1">
      <alignment horizontal="justify" vertical="center" wrapText="1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39" fontId="23" fillId="0" borderId="22" xfId="0" applyNumberFormat="1" applyFont="1" applyBorder="1" applyAlignment="1" applyProtection="1">
      <alignment horizontal="right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44" fillId="5" borderId="36" xfId="0" applyFont="1" applyFill="1" applyBorder="1" applyAlignment="1" applyProtection="1">
      <alignment vertical="center" wrapText="1"/>
    </xf>
    <xf numFmtId="0" fontId="44" fillId="5" borderId="37" xfId="0" applyFont="1" applyFill="1" applyBorder="1" applyAlignment="1" applyProtection="1">
      <alignment vertical="center" wrapText="1"/>
    </xf>
    <xf numFmtId="0" fontId="44" fillId="5" borderId="38" xfId="0" applyFont="1" applyFill="1" applyBorder="1" applyAlignment="1" applyProtection="1">
      <alignment vertical="center" wrapText="1"/>
    </xf>
    <xf numFmtId="39" fontId="23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44" fillId="7" borderId="36" xfId="0" applyFont="1" applyFill="1" applyBorder="1" applyAlignment="1">
      <alignment horizontal="justify" vertical="center" wrapText="1"/>
      <protection locked="0"/>
    </xf>
    <xf numFmtId="0" fontId="44" fillId="7" borderId="37" xfId="0" applyFont="1" applyFill="1" applyBorder="1" applyAlignment="1">
      <alignment horizontal="justify" vertical="center" wrapText="1"/>
      <protection locked="0"/>
    </xf>
    <xf numFmtId="0" fontId="44" fillId="7" borderId="38" xfId="0" applyFont="1" applyFill="1" applyBorder="1" applyAlignment="1">
      <alignment horizontal="justify" vertical="center" wrapText="1"/>
      <protection locked="0"/>
    </xf>
    <xf numFmtId="0" fontId="29" fillId="7" borderId="36" xfId="0" applyFont="1" applyFill="1" applyBorder="1" applyAlignment="1">
      <alignment horizontal="justify" vertical="center" wrapText="1"/>
      <protection locked="0"/>
    </xf>
    <xf numFmtId="0" fontId="29" fillId="7" borderId="37" xfId="0" applyFont="1" applyFill="1" applyBorder="1" applyAlignment="1">
      <alignment horizontal="justify" vertical="center" wrapText="1"/>
      <protection locked="0"/>
    </xf>
    <xf numFmtId="0" fontId="29" fillId="7" borderId="38" xfId="0" applyFont="1" applyFill="1" applyBorder="1" applyAlignment="1">
      <alignment horizontal="justify" vertical="center" wrapText="1"/>
      <protection locked="0"/>
    </xf>
    <xf numFmtId="0" fontId="0" fillId="4" borderId="23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39" fillId="2" borderId="0" xfId="2" applyFont="1" applyFill="1" applyAlignment="1" applyProtection="1">
      <alignment horizontal="center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0" fontId="29" fillId="5" borderId="24" xfId="9" applyFill="1" applyBorder="1" applyAlignment="1" applyProtection="1">
      <alignment vertical="center" wrapText="1"/>
    </xf>
    <xf numFmtId="0" fontId="29" fillId="5" borderId="24" xfId="9" applyFill="1" applyBorder="1" applyAlignment="1" applyProtection="1">
      <alignment vertical="center"/>
    </xf>
    <xf numFmtId="0" fontId="29" fillId="5" borderId="36" xfId="0" applyFont="1" applyFill="1" applyBorder="1" applyAlignment="1" applyProtection="1">
      <alignment horizontal="justify" vertical="center" wrapText="1"/>
    </xf>
    <xf numFmtId="0" fontId="29" fillId="5" borderId="37" xfId="0" applyFont="1" applyFill="1" applyBorder="1" applyAlignment="1" applyProtection="1">
      <alignment horizontal="justify" vertical="center" wrapText="1"/>
    </xf>
    <xf numFmtId="0" fontId="29" fillId="5" borderId="38" xfId="0" applyFont="1" applyFill="1" applyBorder="1" applyAlignment="1" applyProtection="1">
      <alignment horizontal="justify" vertical="center" wrapText="1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5" borderId="36" xfId="0" applyFont="1" applyFill="1" applyBorder="1" applyAlignment="1" applyProtection="1">
      <alignment horizontal="justify" vertical="center"/>
    </xf>
    <xf numFmtId="0" fontId="44" fillId="5" borderId="37" xfId="0" applyFont="1" applyFill="1" applyBorder="1" applyAlignment="1" applyProtection="1">
      <alignment horizontal="justify" vertical="center"/>
    </xf>
    <xf numFmtId="0" fontId="44" fillId="5" borderId="38" xfId="0" applyFont="1" applyFill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5" borderId="21" xfId="0" applyFont="1" applyFill="1" applyBorder="1" applyAlignment="1" applyProtection="1">
      <alignment horizontal="justify" vertical="center" wrapText="1"/>
    </xf>
    <xf numFmtId="0" fontId="29" fillId="5" borderId="22" xfId="0" applyFont="1" applyFill="1" applyBorder="1" applyAlignment="1" applyProtection="1">
      <alignment horizontal="justify" vertical="center" wrapText="1"/>
    </xf>
    <xf numFmtId="0" fontId="29" fillId="5" borderId="23" xfId="0" applyFont="1" applyFill="1" applyBorder="1" applyAlignment="1" applyProtection="1">
      <alignment horizontal="justify" vertical="center" wrapText="1"/>
    </xf>
    <xf numFmtId="39" fontId="0" fillId="3" borderId="32" xfId="0" applyNumberFormat="1" applyFill="1" applyBorder="1" applyAlignment="1">
      <alignment horizontal="righ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29" fillId="5" borderId="32" xfId="9" applyFill="1" applyBorder="1" applyAlignment="1" applyProtection="1">
      <alignment horizontal="justify" vertical="center" wrapText="1"/>
    </xf>
    <xf numFmtId="0" fontId="29" fillId="5" borderId="32" xfId="9" applyFill="1" applyBorder="1" applyAlignment="1" applyProtection="1">
      <alignment horizontal="justify" vertical="center"/>
    </xf>
    <xf numFmtId="0" fontId="6" fillId="4" borderId="0" xfId="0" applyFont="1" applyFill="1" applyAlignment="1" applyProtection="1">
      <alignment horizontal="right" vertical="center"/>
    </xf>
    <xf numFmtId="0" fontId="29" fillId="5" borderId="32" xfId="0" applyFont="1" applyFill="1" applyBorder="1" applyAlignment="1" applyProtection="1">
      <alignment horizontal="justify" vertical="center" wrapText="1"/>
    </xf>
    <xf numFmtId="0" fontId="0" fillId="5" borderId="32" xfId="0" applyFill="1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39" fontId="29" fillId="3" borderId="21" xfId="0" applyNumberFormat="1" applyFont="1" applyFill="1" applyBorder="1" applyAlignment="1">
      <alignment horizontal="right" vertical="center"/>
      <protection locked="0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D4882973-B622-45EA-8C00-D0286CF883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0"/>
  <sheetViews>
    <sheetView showGridLines="0" tabSelected="1" zoomScaleNormal="100" zoomScaleSheetLayoutView="100" workbookViewId="0">
      <pane ySplit="1" topLeftCell="A2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09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R2" s="220" t="s">
        <v>3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11" t="s">
        <v>7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5" t="s">
        <v>118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Q5" s="12"/>
      <c r="BE5" s="227" t="s">
        <v>116</v>
      </c>
      <c r="BS5" s="7" t="s">
        <v>4</v>
      </c>
    </row>
    <row r="6" spans="1:73" ht="37.5" customHeight="1" x14ac:dyDescent="0.3">
      <c r="B6" s="11"/>
      <c r="D6" s="17" t="s">
        <v>12</v>
      </c>
      <c r="K6" s="228" t="s">
        <v>170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Q6" s="12"/>
      <c r="BE6" s="210"/>
      <c r="BS6" s="7" t="s">
        <v>4</v>
      </c>
    </row>
    <row r="7" spans="1:73" ht="15" customHeight="1" x14ac:dyDescent="0.3">
      <c r="B7" s="11"/>
      <c r="D7" s="18" t="s">
        <v>13</v>
      </c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18" t="s">
        <v>14</v>
      </c>
      <c r="AN7" s="16"/>
      <c r="AQ7" s="12"/>
      <c r="BE7" s="210"/>
      <c r="BS7" s="7" t="s">
        <v>4</v>
      </c>
    </row>
    <row r="8" spans="1:73" ht="15" customHeight="1" x14ac:dyDescent="0.3">
      <c r="B8" s="11"/>
      <c r="D8" s="18" t="s">
        <v>15</v>
      </c>
      <c r="K8" s="215" t="s">
        <v>172</v>
      </c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18" t="s">
        <v>16</v>
      </c>
      <c r="AN8" s="106">
        <f ca="1">TODAY()</f>
        <v>45306</v>
      </c>
      <c r="AQ8" s="12"/>
      <c r="BE8" s="210"/>
      <c r="BS8" s="7" t="s">
        <v>4</v>
      </c>
    </row>
    <row r="9" spans="1:73" ht="15" customHeight="1" x14ac:dyDescent="0.3">
      <c r="B9" s="11"/>
      <c r="AQ9" s="12"/>
      <c r="BE9" s="210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10"/>
      <c r="BS10" s="7" t="s">
        <v>4</v>
      </c>
    </row>
    <row r="11" spans="1:73" ht="19.5" customHeight="1" x14ac:dyDescent="0.3">
      <c r="B11" s="11"/>
      <c r="E11" s="215" t="s">
        <v>171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18" t="s">
        <v>19</v>
      </c>
      <c r="AN11" s="16" t="s">
        <v>202</v>
      </c>
      <c r="AQ11" s="12"/>
      <c r="BE11" s="210"/>
      <c r="BS11" s="7" t="s">
        <v>4</v>
      </c>
    </row>
    <row r="12" spans="1:73" ht="7.5" customHeight="1" x14ac:dyDescent="0.3">
      <c r="B12" s="11"/>
      <c r="AQ12" s="12"/>
      <c r="BE12" s="210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5" t="s">
        <v>21</v>
      </c>
      <c r="AQ13" s="12"/>
      <c r="BE13" s="210"/>
      <c r="BS13" s="7" t="s">
        <v>4</v>
      </c>
    </row>
    <row r="14" spans="1:73" ht="15.75" customHeight="1" x14ac:dyDescent="0.3">
      <c r="B14" s="11"/>
      <c r="E14" s="212" t="s">
        <v>21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18" t="s">
        <v>19</v>
      </c>
      <c r="AN14" s="175" t="s">
        <v>21</v>
      </c>
      <c r="AQ14" s="12"/>
      <c r="BE14" s="210"/>
      <c r="BS14" s="7" t="s">
        <v>4</v>
      </c>
    </row>
    <row r="15" spans="1:73" ht="7.5" customHeight="1" x14ac:dyDescent="0.3">
      <c r="B15" s="11"/>
      <c r="AQ15" s="12"/>
      <c r="BE15" s="210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137</v>
      </c>
      <c r="AQ16" s="12"/>
      <c r="BE16" s="210"/>
      <c r="BS16" s="7" t="s">
        <v>2</v>
      </c>
    </row>
    <row r="17" spans="2:71" ht="19.5" customHeight="1" x14ac:dyDescent="0.3">
      <c r="B17" s="11"/>
      <c r="E17" s="215" t="s">
        <v>135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18" t="s">
        <v>19</v>
      </c>
      <c r="AN17" s="16" t="s">
        <v>136</v>
      </c>
      <c r="AQ17" s="12"/>
      <c r="BE17" s="210"/>
      <c r="BS17" s="7" t="s">
        <v>2</v>
      </c>
    </row>
    <row r="18" spans="2:71" ht="7.5" customHeight="1" x14ac:dyDescent="0.3">
      <c r="B18" s="11"/>
      <c r="AQ18" s="12"/>
      <c r="BE18" s="210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137</v>
      </c>
      <c r="AQ19" s="12"/>
      <c r="BE19" s="210"/>
      <c r="BS19" s="7" t="s">
        <v>4</v>
      </c>
    </row>
    <row r="20" spans="2:71" ht="19.5" customHeight="1" x14ac:dyDescent="0.3">
      <c r="B20" s="11"/>
      <c r="E20" s="215" t="s">
        <v>135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18" t="s">
        <v>19</v>
      </c>
      <c r="AN20" s="16" t="s">
        <v>136</v>
      </c>
      <c r="AQ20" s="12"/>
      <c r="BE20" s="210"/>
    </row>
    <row r="21" spans="2:71" ht="7.5" customHeight="1" x14ac:dyDescent="0.3">
      <c r="B21" s="11"/>
      <c r="AQ21" s="12"/>
      <c r="BE21" s="210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10"/>
    </row>
    <row r="23" spans="2:71" ht="15" customHeight="1" x14ac:dyDescent="0.3">
      <c r="B23" s="11"/>
      <c r="D23" s="20" t="s">
        <v>24</v>
      </c>
      <c r="AK23" s="214">
        <f>ROUND($AG$86,2)</f>
        <v>0</v>
      </c>
      <c r="AL23" s="210"/>
      <c r="AM23" s="210"/>
      <c r="AN23" s="210"/>
      <c r="AO23" s="210"/>
      <c r="AQ23" s="12"/>
      <c r="BE23" s="210"/>
    </row>
    <row r="24" spans="2:71" s="7" customFormat="1" ht="7.5" customHeight="1" x14ac:dyDescent="0.3">
      <c r="B24" s="21"/>
      <c r="AQ24" s="22"/>
      <c r="BE24" s="216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05">
        <f>ROUND($AK$23,2)</f>
        <v>0</v>
      </c>
      <c r="AL25" s="206"/>
      <c r="AM25" s="206"/>
      <c r="AN25" s="206"/>
      <c r="AO25" s="206"/>
      <c r="AQ25" s="22"/>
      <c r="BE25" s="216"/>
    </row>
    <row r="26" spans="2:71" s="7" customFormat="1" ht="7.5" customHeight="1" x14ac:dyDescent="0.3">
      <c r="B26" s="21"/>
      <c r="AQ26" s="22"/>
      <c r="BE26" s="216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17">
        <v>0.21</v>
      </c>
      <c r="M27" s="208"/>
      <c r="N27" s="208"/>
      <c r="O27" s="208"/>
      <c r="T27" s="27" t="s">
        <v>28</v>
      </c>
      <c r="W27" s="207">
        <f>AK25</f>
        <v>0</v>
      </c>
      <c r="X27" s="208"/>
      <c r="Y27" s="208"/>
      <c r="Z27" s="208"/>
      <c r="AA27" s="208"/>
      <c r="AB27" s="208"/>
      <c r="AC27" s="208"/>
      <c r="AD27" s="208"/>
      <c r="AE27" s="208"/>
      <c r="AK27" s="207">
        <f>L27*W27</f>
        <v>0</v>
      </c>
      <c r="AL27" s="208"/>
      <c r="AM27" s="208"/>
      <c r="AN27" s="208"/>
      <c r="AO27" s="208"/>
      <c r="AQ27" s="28"/>
      <c r="BE27" s="208"/>
    </row>
    <row r="28" spans="2:71" s="7" customFormat="1" ht="15" customHeight="1" x14ac:dyDescent="0.3">
      <c r="B28" s="25"/>
      <c r="F28" s="26" t="s">
        <v>29</v>
      </c>
      <c r="L28" s="217">
        <v>0.15</v>
      </c>
      <c r="M28" s="208"/>
      <c r="N28" s="208"/>
      <c r="O28" s="208"/>
      <c r="T28" s="27" t="s">
        <v>28</v>
      </c>
      <c r="W28" s="207">
        <v>0</v>
      </c>
      <c r="X28" s="208"/>
      <c r="Y28" s="208"/>
      <c r="Z28" s="208"/>
      <c r="AA28" s="208"/>
      <c r="AB28" s="208"/>
      <c r="AC28" s="208"/>
      <c r="AD28" s="208"/>
      <c r="AE28" s="208"/>
      <c r="AK28" s="207">
        <v>0</v>
      </c>
      <c r="AL28" s="208"/>
      <c r="AM28" s="208"/>
      <c r="AN28" s="208"/>
      <c r="AO28" s="208"/>
      <c r="AQ28" s="28"/>
      <c r="BE28" s="208"/>
    </row>
    <row r="29" spans="2:71" s="7" customFormat="1" ht="15" hidden="1" customHeight="1" x14ac:dyDescent="0.3">
      <c r="B29" s="25"/>
      <c r="F29" s="26" t="s">
        <v>30</v>
      </c>
      <c r="L29" s="217">
        <v>0.21</v>
      </c>
      <c r="M29" s="208"/>
      <c r="N29" s="208"/>
      <c r="O29" s="208"/>
      <c r="T29" s="27" t="s">
        <v>28</v>
      </c>
      <c r="W29" s="207" t="e">
        <f>ROUND($BQ$86+SUM($CF$95:$CF$98),2)</f>
        <v>#REF!</v>
      </c>
      <c r="X29" s="208"/>
      <c r="Y29" s="208"/>
      <c r="Z29" s="208"/>
      <c r="AA29" s="208"/>
      <c r="AB29" s="208"/>
      <c r="AC29" s="208"/>
      <c r="AD29" s="208"/>
      <c r="AE29" s="208"/>
      <c r="AK29" s="207">
        <v>0</v>
      </c>
      <c r="AL29" s="208"/>
      <c r="AM29" s="208"/>
      <c r="AN29" s="208"/>
      <c r="AO29" s="208"/>
      <c r="AQ29" s="28"/>
      <c r="BE29" s="208"/>
    </row>
    <row r="30" spans="2:71" s="7" customFormat="1" ht="15" hidden="1" customHeight="1" x14ac:dyDescent="0.3">
      <c r="B30" s="25"/>
      <c r="F30" s="26" t="s">
        <v>31</v>
      </c>
      <c r="L30" s="217">
        <v>0.15</v>
      </c>
      <c r="M30" s="208"/>
      <c r="N30" s="208"/>
      <c r="O30" s="208"/>
      <c r="T30" s="27" t="s">
        <v>28</v>
      </c>
      <c r="W30" s="207" t="e">
        <f>ROUND($BR$86+SUM($CG$95:$CG$98),2)</f>
        <v>#REF!</v>
      </c>
      <c r="X30" s="208"/>
      <c r="Y30" s="208"/>
      <c r="Z30" s="208"/>
      <c r="AA30" s="208"/>
      <c r="AB30" s="208"/>
      <c r="AC30" s="208"/>
      <c r="AD30" s="208"/>
      <c r="AE30" s="208"/>
      <c r="AK30" s="207">
        <v>0</v>
      </c>
      <c r="AL30" s="208"/>
      <c r="AM30" s="208"/>
      <c r="AN30" s="208"/>
      <c r="AO30" s="208"/>
      <c r="AQ30" s="28"/>
      <c r="BE30" s="208"/>
    </row>
    <row r="31" spans="2:71" s="7" customFormat="1" ht="15" hidden="1" customHeight="1" x14ac:dyDescent="0.3">
      <c r="B31" s="25"/>
      <c r="F31" s="26" t="s">
        <v>32</v>
      </c>
      <c r="L31" s="217">
        <v>0</v>
      </c>
      <c r="M31" s="208"/>
      <c r="N31" s="208"/>
      <c r="O31" s="208"/>
      <c r="T31" s="27" t="s">
        <v>28</v>
      </c>
      <c r="W31" s="207" t="e">
        <f>ROUND($BS$86+SUM($CH$95:$CH$98),2)</f>
        <v>#REF!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Q31" s="28"/>
      <c r="BE31" s="208"/>
    </row>
    <row r="32" spans="2:71" s="7" customFormat="1" ht="7.5" customHeight="1" x14ac:dyDescent="0.3">
      <c r="B32" s="21"/>
      <c r="AQ32" s="22"/>
      <c r="BE32" s="216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9" t="s">
        <v>35</v>
      </c>
      <c r="Y33" s="230"/>
      <c r="Z33" s="230"/>
      <c r="AA33" s="230"/>
      <c r="AB33" s="230"/>
      <c r="AC33" s="31"/>
      <c r="AD33" s="31"/>
      <c r="AE33" s="31"/>
      <c r="AF33" s="31"/>
      <c r="AG33" s="31"/>
      <c r="AH33" s="31"/>
      <c r="AI33" s="31"/>
      <c r="AJ33" s="31"/>
      <c r="AK33" s="231">
        <f>ROUND(SUM($AK$25:$AK$31),2)</f>
        <v>0</v>
      </c>
      <c r="AL33" s="230"/>
      <c r="AM33" s="230"/>
      <c r="AN33" s="230"/>
      <c r="AO33" s="232"/>
      <c r="AP33" s="29"/>
      <c r="AQ33" s="22"/>
      <c r="BE33" s="216"/>
    </row>
    <row r="34" spans="2:57" s="7" customFormat="1" ht="15" customHeight="1" x14ac:dyDescent="0.3">
      <c r="B34" s="21"/>
      <c r="D34" s="218" t="s">
        <v>244</v>
      </c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Q34" s="22"/>
    </row>
    <row r="35" spans="2:57" ht="14.25" customHeight="1" x14ac:dyDescent="0.3">
      <c r="B35" s="11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Q35" s="12"/>
    </row>
    <row r="36" spans="2:57" ht="14.25" customHeight="1" x14ac:dyDescent="0.3">
      <c r="B36" s="11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Q36" s="12"/>
    </row>
    <row r="37" spans="2:57" ht="14.25" customHeight="1" x14ac:dyDescent="0.3">
      <c r="B37" s="11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Q37" s="12"/>
    </row>
    <row r="38" spans="2:57" ht="14.25" customHeight="1" x14ac:dyDescent="0.3">
      <c r="B38" s="11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19"/>
      <c r="AJ38" s="219"/>
      <c r="AK38" s="219"/>
      <c r="AL38" s="219"/>
      <c r="AM38" s="219"/>
      <c r="AN38" s="219"/>
      <c r="AO38" s="219"/>
      <c r="AQ38" s="12"/>
    </row>
    <row r="39" spans="2:57" ht="14.25" customHeight="1" x14ac:dyDescent="0.3">
      <c r="B39" s="11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  <c r="AI39" s="219"/>
      <c r="AJ39" s="219"/>
      <c r="AK39" s="219"/>
      <c r="AL39" s="219"/>
      <c r="AM39" s="219"/>
      <c r="AN39" s="219"/>
      <c r="AO39" s="219"/>
      <c r="AQ39" s="12"/>
    </row>
    <row r="40" spans="2:57" ht="14.25" customHeight="1" x14ac:dyDescent="0.3">
      <c r="B40" s="11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  <c r="AI40" s="219"/>
      <c r="AJ40" s="219"/>
      <c r="AK40" s="219"/>
      <c r="AL40" s="219"/>
      <c r="AM40" s="219"/>
      <c r="AN40" s="219"/>
      <c r="AO40" s="219"/>
      <c r="AQ40" s="12"/>
    </row>
    <row r="41" spans="2:57" ht="14.25" customHeight="1" x14ac:dyDescent="0.3">
      <c r="B41" s="11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Q41" s="12"/>
    </row>
    <row r="42" spans="2:57" ht="14.25" customHeight="1" x14ac:dyDescent="0.3">
      <c r="B42" s="11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Q42" s="12"/>
    </row>
    <row r="43" spans="2:57" ht="14.25" customHeight="1" x14ac:dyDescent="0.3">
      <c r="B43" s="11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Q43" s="12"/>
    </row>
    <row r="44" spans="2:57" ht="14.25" customHeight="1" x14ac:dyDescent="0.3">
      <c r="B44" s="11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  <c r="Z44" s="219"/>
      <c r="AA44" s="219"/>
      <c r="AB44" s="219"/>
      <c r="AC44" s="219"/>
      <c r="AD44" s="219"/>
      <c r="AE44" s="219"/>
      <c r="AF44" s="219"/>
      <c r="AG44" s="219"/>
      <c r="AH44" s="219"/>
      <c r="AI44" s="219"/>
      <c r="AJ44" s="219"/>
      <c r="AK44" s="219"/>
      <c r="AL44" s="219"/>
      <c r="AM44" s="219"/>
      <c r="AN44" s="219"/>
      <c r="AO44" s="219"/>
      <c r="AQ44" s="12"/>
    </row>
    <row r="45" spans="2:57" ht="14.25" customHeight="1" x14ac:dyDescent="0.3">
      <c r="B45" s="11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Q45" s="12"/>
    </row>
    <row r="46" spans="2:57" ht="14.25" customHeight="1" x14ac:dyDescent="0.3">
      <c r="B46" s="11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Q46" s="12"/>
    </row>
    <row r="47" spans="2:57" ht="14.25" customHeight="1" x14ac:dyDescent="0.3">
      <c r="B47" s="11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11" t="s">
        <v>42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33" t="str">
        <f>$K$6</f>
        <v>Instalace nové fotovoltaické elektrárny s výkonem 1 765,8 kWp v areálu Cerekvice nad Bystřicí společnosti ČEPRO, a.s.</v>
      </c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35" t="str">
        <f>IF($K$8="","",$K$8)</f>
        <v>Cerekvice nad Bystřicí</v>
      </c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/>
      <c r="AD79" s="235"/>
      <c r="AE79" s="235"/>
      <c r="AF79" s="235"/>
      <c r="AG79" s="235"/>
      <c r="AI79" s="18" t="s">
        <v>16</v>
      </c>
      <c r="AM79" s="234">
        <f ca="1">IF($AN$8="","",$AN$8)</f>
        <v>45306</v>
      </c>
      <c r="AN79" s="234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5" t="str">
        <f>IF($E$17="","",$E$17)</f>
        <v>YOUNG4ENERGY s.r.o.</v>
      </c>
      <c r="AN81" s="216"/>
      <c r="AO81" s="216"/>
      <c r="AP81" s="216"/>
      <c r="AQ81" s="22"/>
      <c r="BH81" s="221" t="s">
        <v>43</v>
      </c>
      <c r="BI81" s="222"/>
      <c r="BJ81" s="222"/>
      <c r="BK81" s="222"/>
      <c r="BL81" s="222"/>
      <c r="BM81" s="222"/>
      <c r="BN81" s="222"/>
      <c r="BO81" s="222"/>
      <c r="BP81" s="222"/>
      <c r="BQ81" s="222"/>
      <c r="BR81" s="222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5" t="str">
        <f>IF($E$20="","",$E$20)</f>
        <v>YOUNG4ENERGY s.r.o.</v>
      </c>
      <c r="AN82" s="216"/>
      <c r="AO82" s="216"/>
      <c r="AP82" s="216"/>
      <c r="AQ82" s="22"/>
      <c r="BH82" s="223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53"/>
    </row>
    <row r="83" spans="1:90" s="7" customFormat="1" ht="12" customHeight="1" x14ac:dyDescent="0.3">
      <c r="B83" s="21"/>
      <c r="AQ83" s="22"/>
      <c r="BH83" s="225"/>
      <c r="BI83" s="226"/>
      <c r="BJ83" s="226"/>
      <c r="BK83" s="226"/>
      <c r="BL83" s="226"/>
      <c r="BM83" s="226"/>
      <c r="BN83" s="226"/>
      <c r="BO83" s="226"/>
      <c r="BP83" s="226"/>
      <c r="BQ83" s="226"/>
      <c r="BR83" s="226"/>
      <c r="BS83" s="53"/>
    </row>
    <row r="84" spans="1:90" s="7" customFormat="1" ht="30" customHeight="1" x14ac:dyDescent="0.3">
      <c r="B84" s="21"/>
      <c r="C84" s="241" t="s">
        <v>44</v>
      </c>
      <c r="D84" s="230"/>
      <c r="E84" s="230"/>
      <c r="F84" s="230"/>
      <c r="G84" s="230"/>
      <c r="H84" s="31"/>
      <c r="I84" s="236" t="s">
        <v>45</v>
      </c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30"/>
      <c r="Z84" s="230"/>
      <c r="AA84" s="230"/>
      <c r="AB84" s="230"/>
      <c r="AC84" s="230"/>
      <c r="AD84" s="230"/>
      <c r="AE84" s="230"/>
      <c r="AF84" s="230"/>
      <c r="AG84" s="236" t="s">
        <v>46</v>
      </c>
      <c r="AH84" s="230"/>
      <c r="AI84" s="230"/>
      <c r="AJ84" s="230"/>
      <c r="AK84" s="230"/>
      <c r="AL84" s="230"/>
      <c r="AM84" s="230"/>
      <c r="AN84" s="236" t="s">
        <v>47</v>
      </c>
      <c r="AO84" s="230"/>
      <c r="AP84" s="232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37">
        <f>ROUND(SUM(AL87:AM94),2)</f>
        <v>0</v>
      </c>
      <c r="AH86" s="238"/>
      <c r="AI86" s="238"/>
      <c r="AJ86" s="238"/>
      <c r="AK86" s="238"/>
      <c r="AL86" s="238"/>
      <c r="AM86" s="238"/>
      <c r="AN86" s="237">
        <f>ROUND(SUM(AN87:AP94),2)</f>
        <v>0</v>
      </c>
      <c r="AO86" s="238"/>
      <c r="AP86" s="238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42.75" customHeight="1" x14ac:dyDescent="0.3">
      <c r="A87" s="118"/>
      <c r="B87" s="65"/>
      <c r="C87" s="66"/>
      <c r="D87" s="239" t="s">
        <v>140</v>
      </c>
      <c r="E87" s="240"/>
      <c r="F87" s="240"/>
      <c r="G87" s="240"/>
      <c r="H87" s="240"/>
      <c r="I87" s="66"/>
      <c r="J87" s="202" t="s">
        <v>173</v>
      </c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105"/>
      <c r="AL87" s="203">
        <f>'SO01'!M27</f>
        <v>0</v>
      </c>
      <c r="AM87" s="203"/>
      <c r="AN87" s="203">
        <f>'SO01'!L35</f>
        <v>0</v>
      </c>
      <c r="AO87" s="204"/>
      <c r="AP87" s="204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75" customFormat="1" ht="42.75" customHeight="1" x14ac:dyDescent="0.3">
      <c r="A88" s="118"/>
      <c r="B88" s="72"/>
      <c r="C88" s="73"/>
      <c r="D88" s="239" t="s">
        <v>155</v>
      </c>
      <c r="E88" s="240"/>
      <c r="F88" s="240"/>
      <c r="G88" s="240"/>
      <c r="H88" s="240"/>
      <c r="I88" s="66"/>
      <c r="J88" s="202" t="s">
        <v>174</v>
      </c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2"/>
      <c r="AH88" s="202"/>
      <c r="AI88" s="202"/>
      <c r="AJ88" s="202"/>
      <c r="AK88" s="105"/>
      <c r="AL88" s="203">
        <f>'SO02'!M27</f>
        <v>0</v>
      </c>
      <c r="AM88" s="203"/>
      <c r="AN88" s="203">
        <f>'SO02'!L35</f>
        <v>0</v>
      </c>
      <c r="AO88" s="204"/>
      <c r="AP88" s="204"/>
      <c r="AQ88" s="74"/>
      <c r="BG88" s="64"/>
      <c r="BH88" s="76"/>
      <c r="BI88" s="77"/>
      <c r="BJ88" s="78"/>
      <c r="BK88" s="77"/>
      <c r="BL88" s="77"/>
      <c r="BM88" s="77"/>
      <c r="BN88" s="77"/>
      <c r="BO88" s="77"/>
      <c r="BP88" s="77"/>
      <c r="BQ88" s="77"/>
      <c r="BR88" s="77"/>
      <c r="BS88" s="71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</row>
    <row r="89" spans="1:90" s="75" customFormat="1" ht="40.5" customHeight="1" x14ac:dyDescent="0.3">
      <c r="A89" s="118"/>
      <c r="B89" s="65"/>
      <c r="C89" s="66"/>
      <c r="D89" s="239" t="s">
        <v>114</v>
      </c>
      <c r="E89" s="240"/>
      <c r="F89" s="240"/>
      <c r="G89" s="240"/>
      <c r="H89" s="240"/>
      <c r="I89" s="66"/>
      <c r="J89" s="202" t="s">
        <v>175</v>
      </c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  <c r="AF89" s="202"/>
      <c r="AG89" s="202"/>
      <c r="AH89" s="202"/>
      <c r="AI89" s="202"/>
      <c r="AJ89" s="202"/>
      <c r="AK89" s="105"/>
      <c r="AL89" s="203">
        <f>'SO03'!M27</f>
        <v>0</v>
      </c>
      <c r="AM89" s="203"/>
      <c r="AN89" s="203">
        <f>'SO03'!L35</f>
        <v>0</v>
      </c>
      <c r="AO89" s="204"/>
      <c r="AP89" s="204"/>
      <c r="AQ89" s="22"/>
      <c r="AR89" s="7"/>
      <c r="BG89" s="64"/>
      <c r="BH89" s="76"/>
      <c r="BI89" s="77"/>
      <c r="BJ89" s="78"/>
      <c r="BK89" s="77"/>
      <c r="BL89" s="77"/>
      <c r="BM89" s="77"/>
      <c r="BN89" s="77"/>
      <c r="BO89" s="77"/>
      <c r="BP89" s="77"/>
      <c r="BQ89" s="77"/>
      <c r="BR89" s="77"/>
      <c r="BS89" s="71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</row>
    <row r="90" spans="1:90" s="75" customFormat="1" ht="40.5" customHeight="1" x14ac:dyDescent="0.3">
      <c r="A90" s="118"/>
      <c r="B90" s="65"/>
      <c r="C90" s="66"/>
      <c r="D90" s="239" t="s">
        <v>164</v>
      </c>
      <c r="E90" s="240"/>
      <c r="F90" s="240"/>
      <c r="G90" s="240"/>
      <c r="H90" s="240"/>
      <c r="I90" s="66"/>
      <c r="J90" s="202" t="s">
        <v>179</v>
      </c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  <c r="AF90" s="202"/>
      <c r="AG90" s="202"/>
      <c r="AH90" s="202"/>
      <c r="AI90" s="202"/>
      <c r="AJ90" s="202"/>
      <c r="AK90" s="105"/>
      <c r="AL90" s="203">
        <f>'SO04'!M27</f>
        <v>0</v>
      </c>
      <c r="AM90" s="203"/>
      <c r="AN90" s="203">
        <f>'SO04'!L35</f>
        <v>0</v>
      </c>
      <c r="AO90" s="204"/>
      <c r="AP90" s="204"/>
      <c r="AQ90" s="22"/>
      <c r="AR90" s="7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239" t="s">
        <v>176</v>
      </c>
      <c r="E91" s="240"/>
      <c r="F91" s="240"/>
      <c r="G91" s="240"/>
      <c r="H91" s="240"/>
      <c r="I91" s="66"/>
      <c r="J91" s="202" t="s">
        <v>180</v>
      </c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  <c r="AF91" s="202"/>
      <c r="AG91" s="202"/>
      <c r="AH91" s="202"/>
      <c r="AI91" s="202"/>
      <c r="AJ91" s="202"/>
      <c r="AK91" s="105"/>
      <c r="AL91" s="203">
        <f>'IO01'!M27</f>
        <v>0</v>
      </c>
      <c r="AM91" s="203"/>
      <c r="AN91" s="203">
        <f>'IO01'!L35</f>
        <v>0</v>
      </c>
      <c r="AO91" s="204"/>
      <c r="AP91" s="204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239" t="s">
        <v>177</v>
      </c>
      <c r="E92" s="240"/>
      <c r="F92" s="240"/>
      <c r="G92" s="240"/>
      <c r="H92" s="240"/>
      <c r="I92" s="66"/>
      <c r="J92" s="202" t="s">
        <v>181</v>
      </c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2"/>
      <c r="AH92" s="202"/>
      <c r="AI92" s="202"/>
      <c r="AJ92" s="202"/>
      <c r="AK92" s="105"/>
      <c r="AL92" s="203">
        <f>'IO02'!M25</f>
        <v>0</v>
      </c>
      <c r="AM92" s="203"/>
      <c r="AN92" s="203">
        <f>'IO02'!L35</f>
        <v>0</v>
      </c>
      <c r="AO92" s="204"/>
      <c r="AP92" s="204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239" t="s">
        <v>178</v>
      </c>
      <c r="E93" s="240"/>
      <c r="F93" s="240"/>
      <c r="G93" s="240"/>
      <c r="H93" s="240"/>
      <c r="I93" s="66"/>
      <c r="J93" s="202" t="s">
        <v>182</v>
      </c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  <c r="AF93" s="202"/>
      <c r="AG93" s="202"/>
      <c r="AH93" s="202"/>
      <c r="AI93" s="202"/>
      <c r="AJ93" s="202"/>
      <c r="AK93" s="105"/>
      <c r="AL93" s="203">
        <f>'IO03'!M27</f>
        <v>0</v>
      </c>
      <c r="AM93" s="203"/>
      <c r="AN93" s="203">
        <f>'IO03'!L35</f>
        <v>0</v>
      </c>
      <c r="AO93" s="204"/>
      <c r="AP93" s="204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24.95" customHeight="1" x14ac:dyDescent="0.3">
      <c r="A94" s="7"/>
      <c r="B94" s="21"/>
      <c r="D94" s="239" t="s">
        <v>183</v>
      </c>
      <c r="E94" s="240"/>
      <c r="F94" s="240"/>
      <c r="G94" s="240"/>
      <c r="H94" s="240"/>
      <c r="I94" s="66"/>
      <c r="J94" s="202" t="s">
        <v>128</v>
      </c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/>
      <c r="AF94" s="244"/>
      <c r="AG94" s="64"/>
      <c r="AH94" s="111"/>
      <c r="AI94" s="111"/>
      <c r="AJ94" s="111"/>
      <c r="AK94" s="105"/>
      <c r="AL94" s="203">
        <f>'VN + ON'!$M$27</f>
        <v>0</v>
      </c>
      <c r="AM94" s="203"/>
      <c r="AN94" s="203">
        <f>'VN + ON'!L35</f>
        <v>0</v>
      </c>
      <c r="AO94" s="204"/>
      <c r="AP94" s="204"/>
      <c r="AQ94" s="22"/>
      <c r="AR94" s="7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" customFormat="1" ht="21" customHeight="1" x14ac:dyDescent="0.3">
      <c r="B95" s="21"/>
      <c r="C95" s="86" t="s">
        <v>115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42">
        <f>ROUND($AG$86,2)</f>
        <v>0</v>
      </c>
      <c r="AH95" s="243"/>
      <c r="AI95" s="243"/>
      <c r="AJ95" s="243"/>
      <c r="AK95" s="243"/>
      <c r="AL95" s="243"/>
      <c r="AM95" s="243"/>
      <c r="AN95" s="242">
        <f>ROUND($AN$86,2)</f>
        <v>0</v>
      </c>
      <c r="AO95" s="243"/>
      <c r="AP95" s="243"/>
      <c r="AQ95" s="22"/>
      <c r="AR95" s="6"/>
      <c r="BH95" s="81">
        <v>0</v>
      </c>
      <c r="BI95" s="82" t="s">
        <v>71</v>
      </c>
      <c r="BJ95" s="82" t="s">
        <v>27</v>
      </c>
      <c r="BK95" s="79" t="e">
        <f>ROUND(IF($BJ$95="nulová",0,IF(OR($BJ$95="základní",$BJ$95="zákl. přenesená"),#REF!*$L$27,#REF!*$L$28)),2)</f>
        <v>#REF!</v>
      </c>
      <c r="BV95" s="7" t="s">
        <v>72</v>
      </c>
      <c r="BY95" s="80" t="e">
        <f>IF($BJ$95="základní",$BK$95,0)</f>
        <v>#REF!</v>
      </c>
      <c r="BZ95" s="80">
        <f>IF($BJ$95="snížená",$BK$95,0)</f>
        <v>0</v>
      </c>
      <c r="CA95" s="80">
        <f>IF($BJ$95="zákl. přenesená",$BK$95,0)</f>
        <v>0</v>
      </c>
      <c r="CB95" s="80">
        <f>IF($BJ$95="sníž. přenesená",$BK$95,0)</f>
        <v>0</v>
      </c>
      <c r="CC95" s="80">
        <f>IF($BJ$95="nulová",$BK$95,0)</f>
        <v>0</v>
      </c>
      <c r="CD95" s="80" t="e">
        <f>IF($BJ$95="základní",#REF!,0)</f>
        <v>#REF!</v>
      </c>
      <c r="CE95" s="80">
        <f>IF($BJ$95="snížená",#REF!,0)</f>
        <v>0</v>
      </c>
      <c r="CF95" s="80">
        <f>IF($BJ$95="zákl. přenesená",#REF!,0)</f>
        <v>0</v>
      </c>
      <c r="CG95" s="80">
        <f>IF($BJ$95="sníž. přenesená",#REF!,0)</f>
        <v>0</v>
      </c>
      <c r="CH95" s="80">
        <f>IF($BJ$95="nulová",#REF!,0)</f>
        <v>0</v>
      </c>
      <c r="CI95" s="7">
        <f>IF($BJ$95="základní",1,IF($BJ$95="snížená",2,IF($BJ$95="zákl. přenesená",4,IF($BJ$95="sníž. přenesená",5,3))))</f>
        <v>1</v>
      </c>
      <c r="CJ95" s="7">
        <f>IF($BI$95="stavební čast",1,IF(88104="investiční čast",2,3))</f>
        <v>1</v>
      </c>
      <c r="CK95" s="7" t="e">
        <f>IF(#REF!="Vyplň vlastní","","x")</f>
        <v>#REF!</v>
      </c>
    </row>
    <row r="96" spans="1:90" s="7" customFormat="1" ht="12" customHeight="1" x14ac:dyDescent="0.3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110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čast",1,IF(88105="investiční čast",2,3))</f>
        <v>1</v>
      </c>
      <c r="CK96" s="7" t="e">
        <f>IF(#REF!="Vyplň vlastní","","x")</f>
        <v>#REF!</v>
      </c>
    </row>
    <row r="97" spans="1:90" s="7" customFormat="1" ht="30.75" customHeight="1" x14ac:dyDescent="0.3">
      <c r="A97" s="6"/>
      <c r="B97" s="6"/>
      <c r="C97" s="6"/>
      <c r="AQ97" s="6"/>
      <c r="AR97" s="6"/>
      <c r="BH97" s="83">
        <v>0</v>
      </c>
      <c r="BI97" s="84" t="s">
        <v>71</v>
      </c>
      <c r="BJ97" s="84" t="s">
        <v>27</v>
      </c>
      <c r="BK97" s="85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čast",1,IF(88106="investiční čast",2,3))</f>
        <v>1</v>
      </c>
      <c r="CK97" s="7" t="e">
        <f>IF(#REF!="Vyplň vlastní","","x")</f>
        <v>#REF!</v>
      </c>
    </row>
    <row r="98" spans="1:90" s="7" customFormat="1" ht="7.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</row>
    <row r="99" spans="1:90" ht="14.25" customHeight="1" x14ac:dyDescent="0.3"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</sheetData>
  <sheetProtection algorithmName="SHA-512" hashValue="4jJhw6gB/FIn+ZDSCQaVvKbzH1/EDM7KWXvmniR3ooVsritWViPNTqUpqeWGqxEVmLtHZQrkYbRt6fx0MUOZRw==" saltValue="umMVfueJ25r0DKqgaT78sg==" spinCount="100000" sheet="1" objects="1" scenarios="1" selectLockedCells="1"/>
  <mergeCells count="79">
    <mergeCell ref="AN95:AP95"/>
    <mergeCell ref="D89:H89"/>
    <mergeCell ref="AG95:AM95"/>
    <mergeCell ref="AL90:AM90"/>
    <mergeCell ref="AL93:AM93"/>
    <mergeCell ref="D94:H94"/>
    <mergeCell ref="J94:AF94"/>
    <mergeCell ref="AN94:AP94"/>
    <mergeCell ref="AL94:AM94"/>
    <mergeCell ref="AN93:AP93"/>
    <mergeCell ref="D90:H90"/>
    <mergeCell ref="D91:H91"/>
    <mergeCell ref="D92:H92"/>
    <mergeCell ref="D93:H93"/>
    <mergeCell ref="J90:AJ90"/>
    <mergeCell ref="J91:AJ91"/>
    <mergeCell ref="D88:H88"/>
    <mergeCell ref="J88:AJ88"/>
    <mergeCell ref="C84:G84"/>
    <mergeCell ref="I84:AF84"/>
    <mergeCell ref="AG84:AM84"/>
    <mergeCell ref="D87:H87"/>
    <mergeCell ref="AL87:AM87"/>
    <mergeCell ref="J87:AJ87"/>
    <mergeCell ref="AG86:AM86"/>
    <mergeCell ref="L77:AO77"/>
    <mergeCell ref="AM81:AP81"/>
    <mergeCell ref="AM82:AP82"/>
    <mergeCell ref="AM79:AN79"/>
    <mergeCell ref="J89:AJ89"/>
    <mergeCell ref="AL89:AM89"/>
    <mergeCell ref="AN89:AP89"/>
    <mergeCell ref="L79:AG79"/>
    <mergeCell ref="AN84:AP84"/>
    <mergeCell ref="AN87:AP87"/>
    <mergeCell ref="AN86:AP86"/>
    <mergeCell ref="AL88:AM88"/>
    <mergeCell ref="AN88:AP88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C75:AP75"/>
    <mergeCell ref="L28:O28"/>
    <mergeCell ref="W28:AE28"/>
    <mergeCell ref="AK28:AO28"/>
    <mergeCell ref="L27:O27"/>
    <mergeCell ref="W27:AE27"/>
    <mergeCell ref="D34:AO47"/>
    <mergeCell ref="AK25:AO25"/>
    <mergeCell ref="AK27:AO27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J92:AJ92"/>
    <mergeCell ref="J93:AJ93"/>
    <mergeCell ref="AN90:AP90"/>
    <mergeCell ref="AL91:AM91"/>
    <mergeCell ref="AN91:AP91"/>
    <mergeCell ref="AL92:AM92"/>
    <mergeCell ref="AN92:AP92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5 BJ95:BJ97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5 BI95:BI97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53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F122" sqref="F122:I12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20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29" ht="24.95" customHeight="1" x14ac:dyDescent="0.3">
      <c r="B7" s="11"/>
      <c r="D7" s="18" t="s">
        <v>75</v>
      </c>
      <c r="F7" s="281" t="str">
        <f>Rekapitulace!J87</f>
        <v>Instalace pozemní FVE o výkonu 1 765,8 kWp na pozemcích v areálu p. č. 332/1; p. č. 324/6; p. č. 324/3 a p. č. 326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Rekapitulace!J87</f>
        <v>Instalace pozemní FVE o výkonu 1 765,8 kWp na pozemcích v areálu p. č. 332/1; p. č. 324/6; p. č. 324/3 a p. č. 326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5" t="str">
        <f>Rekapitulace!L79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$N$87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(H29)*$F$29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f>(SUM($BF$93:$BF$93)+SUM($BF$112:$BF$143))</f>
        <v>0</v>
      </c>
      <c r="I30" s="216"/>
      <c r="J30" s="216"/>
      <c r="M30" s="283">
        <f>(SUM($BF$93:$BF$93)+SUM($BF$112:$BF$143))*$F$30</f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(SUM($BG$93:$BG$93)+SUM($BG$112:$BG$144))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(SUM($BH$93:$BH$93)+SUM($BH$112:$BH$144))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(SUM($BI$93:$BI$93)+SUM($BI$112:$BI$144))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83"/>
      <c r="L37" s="216"/>
      <c r="M37" s="216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R77" s="22"/>
    </row>
    <row r="78" spans="2:18" ht="24.95" customHeight="1" x14ac:dyDescent="0.3">
      <c r="B78" s="11"/>
      <c r="C78" s="18" t="s">
        <v>75</v>
      </c>
      <c r="F78" s="281" t="str">
        <f>F7</f>
        <v>Instalace pozemní FVE o výkonu 1 765,8 kWp na pozemcích v areálu p. č. 332/1; p. č. 324/6; p. č. 324/3 a p. č. 326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R78" s="12"/>
    </row>
    <row r="79" spans="2:18" s="7" customFormat="1" ht="37.5" customHeight="1" x14ac:dyDescent="0.3">
      <c r="B79" s="21"/>
      <c r="C79" s="50" t="s">
        <v>76</v>
      </c>
      <c r="F79" s="233" t="str">
        <f>F8</f>
        <v>Instalace pozemní FVE o výkonu 1 765,8 kWp na pozemcích v areálu p. č. 332/1; p. č. 324/6; p. č. 324/3 a p. č. 326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18" s="7" customFormat="1" ht="30" customHeight="1" x14ac:dyDescent="0.3">
      <c r="B87" s="21"/>
      <c r="C87" s="58" t="s">
        <v>81</v>
      </c>
      <c r="N87" s="237">
        <f>SUM(N88:Q92)</f>
        <v>0</v>
      </c>
      <c r="O87" s="216"/>
      <c r="P87" s="216"/>
      <c r="Q87" s="216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55">
        <f>$N$113</f>
        <v>0</v>
      </c>
      <c r="O88" s="256"/>
      <c r="P88" s="256"/>
      <c r="Q88" s="256"/>
      <c r="R88" s="90"/>
    </row>
    <row r="89" spans="2:18" s="75" customFormat="1" ht="21" customHeight="1" x14ac:dyDescent="0.35">
      <c r="B89" s="91"/>
      <c r="D89" s="101" t="str">
        <f>D130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55">
        <f>$N$130</f>
        <v>0</v>
      </c>
      <c r="O89" s="256"/>
      <c r="P89" s="256"/>
      <c r="Q89" s="256"/>
      <c r="R89" s="92"/>
    </row>
    <row r="90" spans="2:18" s="75" customFormat="1" ht="21" customHeight="1" x14ac:dyDescent="0.35">
      <c r="B90" s="91"/>
      <c r="D90" s="101" t="str">
        <f>D138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55">
        <f>$N$138</f>
        <v>0</v>
      </c>
      <c r="O90" s="256"/>
      <c r="P90" s="256"/>
      <c r="Q90" s="256"/>
      <c r="R90" s="92"/>
    </row>
    <row r="91" spans="2:18" s="75" customFormat="1" ht="21" customHeight="1" x14ac:dyDescent="0.35">
      <c r="B91" s="91"/>
      <c r="D91" s="101" t="str">
        <f>D145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55">
        <f>N145</f>
        <v>0</v>
      </c>
      <c r="O91" s="256"/>
      <c r="P91" s="256"/>
      <c r="Q91" s="256"/>
      <c r="R91" s="92"/>
    </row>
    <row r="92" spans="2:18" s="75" customFormat="1" ht="21" customHeight="1" x14ac:dyDescent="0.35">
      <c r="B92" s="91"/>
      <c r="D92" s="101" t="str">
        <f>D150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55">
        <f>N150</f>
        <v>0</v>
      </c>
      <c r="O92" s="256"/>
      <c r="P92" s="256"/>
      <c r="Q92" s="256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115</v>
      </c>
      <c r="D94" s="29"/>
      <c r="E94" s="29"/>
      <c r="F94" s="29"/>
      <c r="G94" s="29"/>
      <c r="H94" s="29"/>
      <c r="I94" s="29"/>
      <c r="J94" s="29"/>
      <c r="K94" s="29"/>
      <c r="L94" s="242">
        <f>N112</f>
        <v>0</v>
      </c>
      <c r="M94" s="243"/>
      <c r="N94" s="243"/>
      <c r="O94" s="243"/>
      <c r="P94" s="243"/>
      <c r="Q94" s="243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11" t="s">
        <v>83</v>
      </c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81" t="str">
        <f>$F$6</f>
        <v>Instalace nové fotovoltaické elektrárny s výkonem 1 765,8 kWp v areálu Cerekvice nad Bystřicí společnosti ČEPRO, a.s.</v>
      </c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R102" s="22"/>
    </row>
    <row r="103" spans="2:63" ht="24.95" customHeight="1" x14ac:dyDescent="0.3">
      <c r="B103" s="11"/>
      <c r="C103" s="18" t="s">
        <v>75</v>
      </c>
      <c r="F103" s="281" t="str">
        <f>F7</f>
        <v>Instalace pozemní FVE o výkonu 1 765,8 kWp na pozemcích v areálu p. č. 332/1; p. č. 324/6; p. č. 324/3 a p. č. 326</v>
      </c>
      <c r="G103" s="210"/>
      <c r="H103" s="210"/>
      <c r="I103" s="210"/>
      <c r="J103" s="210"/>
      <c r="K103" s="210"/>
      <c r="L103" s="210"/>
      <c r="M103" s="210"/>
      <c r="N103" s="210"/>
      <c r="O103" s="210"/>
      <c r="P103" s="210"/>
      <c r="R103" s="12"/>
    </row>
    <row r="104" spans="2:63" s="7" customFormat="1" ht="37.5" customHeight="1" x14ac:dyDescent="0.3">
      <c r="B104" s="21"/>
      <c r="C104" s="50" t="s">
        <v>76</v>
      </c>
      <c r="F104" s="233" t="str">
        <f>F8</f>
        <v>Instalace pozemní FVE o výkonu 1 765,8 kWp na pozemcích v areálu p. č. 332/1; p. č. 324/6; p. č. 324/3 a p. č. 326</v>
      </c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Cerekvice nad Bystřicí</v>
      </c>
      <c r="L106" s="18" t="s">
        <v>16</v>
      </c>
      <c r="M106" s="234">
        <f ca="1">IF($O$10="","",$O$10)</f>
        <v>45306</v>
      </c>
      <c r="N106" s="216"/>
      <c r="O106" s="216"/>
      <c r="P106" s="216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5" t="str">
        <f>$E$19</f>
        <v>YOUNG4ENERGY s.r.o.</v>
      </c>
      <c r="N108" s="216"/>
      <c r="O108" s="216"/>
      <c r="P108" s="216"/>
      <c r="Q108" s="216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5" t="str">
        <f>$E$22</f>
        <v>YOUNG4ENERGY s.r.o.</v>
      </c>
      <c r="N109" s="216"/>
      <c r="O109" s="216"/>
      <c r="P109" s="216"/>
      <c r="Q109" s="216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60" t="s">
        <v>86</v>
      </c>
      <c r="G111" s="261"/>
      <c r="H111" s="261"/>
      <c r="I111" s="261"/>
      <c r="J111" s="165" t="s">
        <v>87</v>
      </c>
      <c r="K111" s="165" t="s">
        <v>88</v>
      </c>
      <c r="L111" s="260" t="s">
        <v>89</v>
      </c>
      <c r="M111" s="261"/>
      <c r="N111" s="260" t="s">
        <v>90</v>
      </c>
      <c r="O111" s="261"/>
      <c r="P111" s="261"/>
      <c r="Q111" s="280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86">
        <f>N113+N138+N130+N145+N150</f>
        <v>0</v>
      </c>
      <c r="O112" s="216"/>
      <c r="P112" s="216"/>
      <c r="Q112" s="216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87">
        <f>N114+N117+N121+N124+N128</f>
        <v>0</v>
      </c>
      <c r="O113" s="266"/>
      <c r="P113" s="266"/>
      <c r="Q113" s="266"/>
      <c r="R113" s="102"/>
      <c r="T113" s="114"/>
      <c r="W113" s="115" t="e">
        <f>$W$114+#REF!+$W$131+#REF!+#REF!+#REF!</f>
        <v>#REF!</v>
      </c>
      <c r="Y113" s="115" t="e">
        <f>$Y$114+#REF!+$Y$131+#REF!+#REF!+#REF!</f>
        <v>#REF!</v>
      </c>
      <c r="AA113" s="116" t="e">
        <f>$AA$114+#REF!+$AA$131+#REF!+#REF!+#REF!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156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5">
        <f>SUM(N115:Q116)</f>
        <v>0</v>
      </c>
      <c r="O114" s="266"/>
      <c r="P114" s="266"/>
      <c r="Q114" s="266"/>
      <c r="R114" s="102"/>
      <c r="T114" s="114"/>
      <c r="W114" s="115" t="e">
        <f>SUM($W$115:$W$125)</f>
        <v>#REF!</v>
      </c>
      <c r="Y114" s="115" t="e">
        <f>SUM($Y$115:$Y$125)</f>
        <v>#REF!</v>
      </c>
      <c r="AA114" s="116" t="e">
        <f>SUM($AA$115:$AA$125)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277" t="s">
        <v>245</v>
      </c>
      <c r="G115" s="278"/>
      <c r="H115" s="278"/>
      <c r="I115" s="279"/>
      <c r="J115" s="158" t="s">
        <v>103</v>
      </c>
      <c r="K115" s="201">
        <v>3240</v>
      </c>
      <c r="L115" s="258">
        <v>0</v>
      </c>
      <c r="M115" s="259"/>
      <c r="N115" s="270">
        <f t="shared" ref="N115:N125" si="0">ROUND(L115*K115,2)</f>
        <v>0</v>
      </c>
      <c r="O115" s="271"/>
      <c r="P115" s="271"/>
      <c r="Q115" s="271"/>
      <c r="R115" s="22"/>
      <c r="T115" s="103"/>
      <c r="U115" s="27" t="s">
        <v>27</v>
      </c>
      <c r="V115" s="119">
        <v>0.497</v>
      </c>
      <c r="W115" s="119">
        <f>$V$115*$K$115</f>
        <v>1610.28</v>
      </c>
      <c r="X115" s="119">
        <v>3.4000000000000002E-4</v>
      </c>
      <c r="Y115" s="119">
        <f>$X$115*$K$115</f>
        <v>1.1016000000000001</v>
      </c>
      <c r="Z115" s="119">
        <v>0</v>
      </c>
      <c r="AA115" s="104">
        <f>$Z$115*$K$115</f>
        <v>0</v>
      </c>
      <c r="AB115" s="172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 t="shared" ref="C116" si="1">C115+1</f>
        <v>2</v>
      </c>
      <c r="D116" s="168"/>
      <c r="E116" s="155"/>
      <c r="F116" s="267" t="s">
        <v>157</v>
      </c>
      <c r="G116" s="268"/>
      <c r="H116" s="268"/>
      <c r="I116" s="269"/>
      <c r="J116" s="159" t="s">
        <v>103</v>
      </c>
      <c r="K116" s="121">
        <f>K115</f>
        <v>3240</v>
      </c>
      <c r="L116" s="258">
        <v>0</v>
      </c>
      <c r="M116" s="259"/>
      <c r="N116" s="270">
        <f t="shared" ref="N116" si="2">ROUND(L116*K116,2)</f>
        <v>0</v>
      </c>
      <c r="O116" s="271"/>
      <c r="P116" s="271"/>
      <c r="Q116" s="271"/>
      <c r="R116" s="22"/>
      <c r="T116" s="103"/>
      <c r="U116" s="27" t="s">
        <v>27</v>
      </c>
      <c r="V116" s="119">
        <v>0.497</v>
      </c>
      <c r="W116" s="119">
        <f>$V$116*$K$116</f>
        <v>1610.28</v>
      </c>
      <c r="X116" s="119">
        <v>3.4000000000000002E-4</v>
      </c>
      <c r="Y116" s="119">
        <f>$X$116*$K$116</f>
        <v>1.1016000000000001</v>
      </c>
      <c r="Z116" s="119">
        <v>0</v>
      </c>
      <c r="AA116" s="104">
        <f>$Z$116*$K$116</f>
        <v>0</v>
      </c>
      <c r="AB116" s="172"/>
      <c r="AD116" s="172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159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5">
        <f>SUM(N118:Q120)</f>
        <v>0</v>
      </c>
      <c r="O117" s="266"/>
      <c r="P117" s="266"/>
      <c r="Q117" s="266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274" t="s">
        <v>187</v>
      </c>
      <c r="G118" s="275"/>
      <c r="H118" s="275"/>
      <c r="I118" s="276"/>
      <c r="J118" s="159" t="s">
        <v>103</v>
      </c>
      <c r="K118" s="121">
        <v>13</v>
      </c>
      <c r="L118" s="272">
        <v>0</v>
      </c>
      <c r="M118" s="273"/>
      <c r="N118" s="270">
        <f t="shared" ref="N118:N119" si="3">ROUND(L118*K118,2)</f>
        <v>0</v>
      </c>
      <c r="O118" s="271"/>
      <c r="P118" s="271"/>
      <c r="Q118" s="271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60" customHeight="1" x14ac:dyDescent="0.3">
      <c r="B119" s="21"/>
      <c r="C119" s="120">
        <f>C118+1</f>
        <v>4</v>
      </c>
      <c r="D119" s="120"/>
      <c r="E119" s="155"/>
      <c r="F119" s="274" t="s">
        <v>188</v>
      </c>
      <c r="G119" s="275"/>
      <c r="H119" s="275"/>
      <c r="I119" s="276"/>
      <c r="J119" s="159" t="s">
        <v>103</v>
      </c>
      <c r="K119" s="121">
        <v>1</v>
      </c>
      <c r="L119" s="272">
        <v>0</v>
      </c>
      <c r="M119" s="273"/>
      <c r="N119" s="270">
        <f t="shared" si="3"/>
        <v>0</v>
      </c>
      <c r="O119" s="271"/>
      <c r="P119" s="271"/>
      <c r="Q119" s="271"/>
      <c r="R119" s="22"/>
      <c r="T119" s="103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2:63" s="7" customFormat="1" ht="58.5" customHeight="1" x14ac:dyDescent="0.3">
      <c r="B120" s="21"/>
      <c r="C120" s="120">
        <f>C119+1</f>
        <v>5</v>
      </c>
      <c r="D120" s="120"/>
      <c r="E120" s="155"/>
      <c r="F120" s="267" t="s">
        <v>189</v>
      </c>
      <c r="G120" s="268"/>
      <c r="H120" s="268"/>
      <c r="I120" s="269"/>
      <c r="J120" s="159" t="s">
        <v>100</v>
      </c>
      <c r="K120" s="121">
        <f>K118+K119</f>
        <v>14</v>
      </c>
      <c r="L120" s="272">
        <v>0</v>
      </c>
      <c r="M120" s="273"/>
      <c r="N120" s="270">
        <f t="shared" ref="N120" si="4">ROUND(L120*K120,2)</f>
        <v>0</v>
      </c>
      <c r="O120" s="271"/>
      <c r="P120" s="271"/>
      <c r="Q120" s="271"/>
      <c r="R120" s="22"/>
      <c r="T120" s="103"/>
      <c r="U120" s="27" t="s">
        <v>27</v>
      </c>
      <c r="V120" s="119">
        <v>0.26700000000000002</v>
      </c>
      <c r="W120" s="119" t="e">
        <f>#REF!*#REF!</f>
        <v>#REF!</v>
      </c>
      <c r="X120" s="119">
        <v>1E-4</v>
      </c>
      <c r="Y120" s="119" t="e">
        <f>#REF!*#REF!</f>
        <v>#REF!</v>
      </c>
      <c r="Z120" s="119">
        <v>0</v>
      </c>
      <c r="AA120" s="104" t="e">
        <f>#REF!*#REF!</f>
        <v>#REF!</v>
      </c>
      <c r="BE120" s="80"/>
      <c r="BF120" s="80"/>
      <c r="BG120" s="80"/>
      <c r="BH120" s="80"/>
      <c r="BI120" s="80"/>
      <c r="BK120" s="80"/>
    </row>
    <row r="121" spans="2:63" s="113" customFormat="1" ht="20.100000000000001" customHeight="1" x14ac:dyDescent="0.3">
      <c r="B121" s="100"/>
      <c r="D121" s="112" t="s">
        <v>160</v>
      </c>
      <c r="E121" s="112"/>
      <c r="F121" s="112"/>
      <c r="G121" s="112"/>
      <c r="H121" s="112"/>
      <c r="I121" s="112"/>
      <c r="J121" s="112"/>
      <c r="K121" s="112"/>
      <c r="L121" s="112"/>
      <c r="M121" s="112"/>
      <c r="N121" s="265">
        <f>SUM(N122:Q123)</f>
        <v>0</v>
      </c>
      <c r="O121" s="266"/>
      <c r="P121" s="266"/>
      <c r="Q121" s="266"/>
      <c r="R121" s="102"/>
      <c r="T121" s="114"/>
      <c r="W121" s="115" t="e">
        <f>SUM($W$115:$W$125)</f>
        <v>#REF!</v>
      </c>
      <c r="Y121" s="115" t="e">
        <f>SUM($Y$115:$Y$125)</f>
        <v>#REF!</v>
      </c>
      <c r="AA121" s="116" t="e">
        <f>SUM($AA$115:$AA$125)</f>
        <v>#REF!</v>
      </c>
      <c r="AR121" s="164"/>
      <c r="AT121" s="164"/>
      <c r="AU121" s="164"/>
      <c r="AY121" s="164"/>
      <c r="BK121" s="117"/>
    </row>
    <row r="122" spans="2:63" s="7" customFormat="1" ht="90.75" customHeight="1" x14ac:dyDescent="0.3">
      <c r="B122" s="21"/>
      <c r="C122" s="120">
        <f>C120+1</f>
        <v>6</v>
      </c>
      <c r="D122" s="120"/>
      <c r="E122" s="155"/>
      <c r="F122" s="274" t="s">
        <v>190</v>
      </c>
      <c r="G122" s="275"/>
      <c r="H122" s="275"/>
      <c r="I122" s="276"/>
      <c r="J122" s="159" t="s">
        <v>103</v>
      </c>
      <c r="K122" s="201">
        <v>1620</v>
      </c>
      <c r="L122" s="258">
        <v>0</v>
      </c>
      <c r="M122" s="259"/>
      <c r="N122" s="270">
        <f t="shared" ref="N122" si="5">ROUND(L122*K122,2)</f>
        <v>0</v>
      </c>
      <c r="O122" s="271"/>
      <c r="P122" s="271"/>
      <c r="Q122" s="271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3" s="7" customFormat="1" ht="44.25" customHeight="1" x14ac:dyDescent="0.3">
      <c r="B123" s="21"/>
      <c r="C123" s="120">
        <f>C122+1</f>
        <v>7</v>
      </c>
      <c r="D123" s="120"/>
      <c r="E123" s="155"/>
      <c r="F123" s="247" t="s">
        <v>165</v>
      </c>
      <c r="G123" s="248"/>
      <c r="H123" s="248"/>
      <c r="I123" s="249"/>
      <c r="J123" s="159" t="s">
        <v>103</v>
      </c>
      <c r="K123" s="121">
        <f>K122</f>
        <v>1620</v>
      </c>
      <c r="L123" s="272">
        <v>0</v>
      </c>
      <c r="M123" s="273"/>
      <c r="N123" s="270">
        <f t="shared" ref="N123" si="6">ROUND(L123*K123,2)</f>
        <v>0</v>
      </c>
      <c r="O123" s="271"/>
      <c r="P123" s="271"/>
      <c r="Q123" s="271"/>
      <c r="R123" s="22"/>
      <c r="T123" s="103"/>
      <c r="U123" s="27" t="s">
        <v>27</v>
      </c>
      <c r="V123" s="119">
        <v>0.26700000000000002</v>
      </c>
      <c r="W123" s="119" t="e">
        <f>#REF!*#REF!</f>
        <v>#REF!</v>
      </c>
      <c r="X123" s="119">
        <v>1E-4</v>
      </c>
      <c r="Y123" s="119" t="e">
        <f>#REF!*#REF!</f>
        <v>#REF!</v>
      </c>
      <c r="Z123" s="119">
        <v>0</v>
      </c>
      <c r="AA123" s="104" t="e">
        <f>#REF!*#REF!</f>
        <v>#REF!</v>
      </c>
      <c r="BE123" s="80"/>
      <c r="BF123" s="80"/>
      <c r="BG123" s="80"/>
      <c r="BH123" s="80"/>
      <c r="BI123" s="80"/>
      <c r="BK123" s="80"/>
    </row>
    <row r="124" spans="2:63" s="113" customFormat="1" ht="20.100000000000001" customHeight="1" x14ac:dyDescent="0.3">
      <c r="B124" s="100"/>
      <c r="D124" s="112" t="s">
        <v>161</v>
      </c>
      <c r="E124" s="112"/>
      <c r="F124" s="112"/>
      <c r="G124" s="112"/>
      <c r="H124" s="112"/>
      <c r="I124" s="112"/>
      <c r="J124" s="112"/>
      <c r="K124" s="112"/>
      <c r="L124" s="112"/>
      <c r="M124" s="112"/>
      <c r="N124" s="265">
        <f>SUM(N125:Q127)</f>
        <v>0</v>
      </c>
      <c r="O124" s="266"/>
      <c r="P124" s="266"/>
      <c r="Q124" s="266"/>
      <c r="R124" s="102"/>
      <c r="T124" s="114"/>
      <c r="W124" s="115" t="e">
        <f>SUM($W$115:$W$125)</f>
        <v>#REF!</v>
      </c>
      <c r="Y124" s="115" t="e">
        <f>SUM($Y$115:$Y$125)</f>
        <v>#REF!</v>
      </c>
      <c r="AA124" s="116" t="e">
        <f>SUM($AA$115:$AA$125)</f>
        <v>#REF!</v>
      </c>
      <c r="AR124" s="164"/>
      <c r="AT124" s="164"/>
      <c r="AU124" s="164"/>
      <c r="AY124" s="164"/>
      <c r="BK124" s="117"/>
    </row>
    <row r="125" spans="2:63" s="7" customFormat="1" ht="113.25" customHeight="1" x14ac:dyDescent="0.3">
      <c r="B125" s="21"/>
      <c r="C125" s="120">
        <f>C123+1</f>
        <v>8</v>
      </c>
      <c r="D125" s="120"/>
      <c r="E125" s="155"/>
      <c r="F125" s="247" t="s">
        <v>226</v>
      </c>
      <c r="G125" s="248"/>
      <c r="H125" s="248"/>
      <c r="I125" s="249"/>
      <c r="J125" s="159" t="s">
        <v>100</v>
      </c>
      <c r="K125" s="121">
        <v>1</v>
      </c>
      <c r="L125" s="258">
        <v>0</v>
      </c>
      <c r="M125" s="259"/>
      <c r="N125" s="270">
        <f t="shared" si="0"/>
        <v>0</v>
      </c>
      <c r="O125" s="271"/>
      <c r="P125" s="271"/>
      <c r="Q125" s="271"/>
      <c r="R125" s="22"/>
      <c r="T125" s="103"/>
      <c r="U125" s="27"/>
      <c r="V125" s="119"/>
      <c r="W125" s="119"/>
      <c r="X125" s="119"/>
      <c r="Y125" s="119"/>
      <c r="Z125" s="119"/>
      <c r="AA125" s="104"/>
      <c r="BE125" s="80"/>
      <c r="BF125" s="80"/>
      <c r="BG125" s="80"/>
      <c r="BH125" s="80"/>
      <c r="BI125" s="80"/>
      <c r="BK125" s="80"/>
    </row>
    <row r="126" spans="2:63" s="7" customFormat="1" ht="34.5" customHeight="1" x14ac:dyDescent="0.3">
      <c r="B126" s="21"/>
      <c r="C126" s="120">
        <f>C125+1</f>
        <v>9</v>
      </c>
      <c r="D126" s="120"/>
      <c r="E126" s="155"/>
      <c r="F126" s="247" t="s">
        <v>237</v>
      </c>
      <c r="G126" s="248"/>
      <c r="H126" s="248"/>
      <c r="I126" s="249"/>
      <c r="J126" s="159" t="s">
        <v>100</v>
      </c>
      <c r="K126" s="121">
        <v>1</v>
      </c>
      <c r="L126" s="258">
        <v>0</v>
      </c>
      <c r="M126" s="259"/>
      <c r="N126" s="270">
        <f t="shared" ref="N126" si="7">ROUND(L126*K126,2)</f>
        <v>0</v>
      </c>
      <c r="O126" s="271"/>
      <c r="P126" s="271"/>
      <c r="Q126" s="271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3" s="7" customFormat="1" ht="44.25" customHeight="1" x14ac:dyDescent="0.3">
      <c r="B127" s="21"/>
      <c r="C127" s="120">
        <f>C126+1</f>
        <v>10</v>
      </c>
      <c r="D127" s="120"/>
      <c r="E127" s="155"/>
      <c r="F127" s="247" t="s">
        <v>191</v>
      </c>
      <c r="G127" s="248"/>
      <c r="H127" s="248"/>
      <c r="I127" s="249"/>
      <c r="J127" s="159" t="s">
        <v>100</v>
      </c>
      <c r="K127" s="121">
        <v>1</v>
      </c>
      <c r="L127" s="272">
        <v>0</v>
      </c>
      <c r="M127" s="273"/>
      <c r="N127" s="270">
        <f t="shared" ref="N127" si="8">ROUND(L127*K127,2)</f>
        <v>0</v>
      </c>
      <c r="O127" s="271"/>
      <c r="P127" s="271"/>
      <c r="Q127" s="271"/>
      <c r="R127" s="22"/>
      <c r="T127" s="103"/>
      <c r="U127" s="27" t="s">
        <v>27</v>
      </c>
      <c r="V127" s="119">
        <v>0.26700000000000002</v>
      </c>
      <c r="W127" s="119" t="e">
        <f>#REF!*#REF!</f>
        <v>#REF!</v>
      </c>
      <c r="X127" s="119">
        <v>1E-4</v>
      </c>
      <c r="Y127" s="119" t="e">
        <f>#REF!*#REF!</f>
        <v>#REF!</v>
      </c>
      <c r="Z127" s="119">
        <v>0</v>
      </c>
      <c r="AA127" s="104" t="e">
        <f>#REF!*#REF!</f>
        <v>#REF!</v>
      </c>
      <c r="BE127" s="80"/>
      <c r="BF127" s="80"/>
      <c r="BG127" s="80"/>
      <c r="BH127" s="80"/>
      <c r="BI127" s="80"/>
      <c r="BK127" s="80"/>
    </row>
    <row r="128" spans="2:63" s="113" customFormat="1" ht="20.100000000000001" customHeight="1" x14ac:dyDescent="0.3">
      <c r="B128" s="100"/>
      <c r="D128" s="112" t="s">
        <v>162</v>
      </c>
      <c r="E128" s="112"/>
      <c r="F128" s="112"/>
      <c r="G128" s="112"/>
      <c r="H128" s="112"/>
      <c r="I128" s="112"/>
      <c r="J128" s="112"/>
      <c r="K128" s="112"/>
      <c r="L128" s="112"/>
      <c r="M128" s="112"/>
      <c r="N128" s="265">
        <f>SUM(N129)</f>
        <v>0</v>
      </c>
      <c r="O128" s="266"/>
      <c r="P128" s="266"/>
      <c r="Q128" s="266"/>
      <c r="R128" s="102"/>
      <c r="T128" s="114"/>
      <c r="W128" s="115" t="e">
        <f>SUM($W$115:$W$125)</f>
        <v>#REF!</v>
      </c>
      <c r="Y128" s="115" t="e">
        <f>SUM($Y$115:$Y$125)</f>
        <v>#REF!</v>
      </c>
      <c r="AA128" s="116" t="e">
        <f>SUM($AA$115:$AA$125)</f>
        <v>#REF!</v>
      </c>
      <c r="AR128" s="164"/>
      <c r="AT128" s="164"/>
      <c r="AU128" s="164"/>
      <c r="AY128" s="164"/>
      <c r="BK128" s="117"/>
    </row>
    <row r="129" spans="2:63" s="7" customFormat="1" ht="77.25" customHeight="1" x14ac:dyDescent="0.3">
      <c r="B129" s="21"/>
      <c r="C129" s="120">
        <f>C127+1</f>
        <v>11</v>
      </c>
      <c r="D129" s="120"/>
      <c r="E129" s="155"/>
      <c r="F129" s="267" t="s">
        <v>192</v>
      </c>
      <c r="G129" s="268"/>
      <c r="H129" s="268"/>
      <c r="I129" s="269"/>
      <c r="J129" s="159" t="s">
        <v>103</v>
      </c>
      <c r="K129" s="121">
        <v>14</v>
      </c>
      <c r="L129" s="258">
        <v>0</v>
      </c>
      <c r="M129" s="259"/>
      <c r="N129" s="270">
        <f t="shared" ref="N129" si="9">ROUND(L129*K129,2)</f>
        <v>0</v>
      </c>
      <c r="O129" s="271"/>
      <c r="P129" s="271"/>
      <c r="Q129" s="271"/>
      <c r="R129" s="22"/>
      <c r="T129" s="103"/>
      <c r="U129" s="27"/>
      <c r="V129" s="119"/>
      <c r="W129" s="119"/>
      <c r="X129" s="119"/>
      <c r="Y129" s="119"/>
      <c r="Z129" s="119"/>
      <c r="AA129" s="104"/>
      <c r="BE129" s="80"/>
      <c r="BF129" s="80"/>
      <c r="BG129" s="80"/>
      <c r="BH129" s="80"/>
      <c r="BI129" s="80"/>
      <c r="BK129" s="80"/>
    </row>
    <row r="130" spans="2:63" s="113" customFormat="1" ht="24.95" customHeight="1" x14ac:dyDescent="0.35">
      <c r="B130" s="100"/>
      <c r="D130" s="101" t="s">
        <v>110</v>
      </c>
      <c r="E130" s="101"/>
      <c r="F130" s="166"/>
      <c r="G130" s="166"/>
      <c r="H130" s="166"/>
      <c r="I130" s="166"/>
      <c r="J130" s="101"/>
      <c r="K130" s="101"/>
      <c r="L130" s="101"/>
      <c r="M130" s="101"/>
      <c r="N130" s="245">
        <f>N131+N134+N136</f>
        <v>0</v>
      </c>
      <c r="O130" s="245"/>
      <c r="P130" s="245"/>
      <c r="Q130" s="245"/>
      <c r="R130" s="102"/>
      <c r="T130" s="114"/>
      <c r="W130" s="115"/>
      <c r="Y130" s="115"/>
      <c r="AA130" s="116"/>
      <c r="AR130" s="164"/>
      <c r="AT130" s="164"/>
      <c r="AU130" s="164"/>
      <c r="AY130" s="164"/>
      <c r="BK130" s="117"/>
    </row>
    <row r="131" spans="2:63" s="113" customFormat="1" ht="20.100000000000001" customHeight="1" x14ac:dyDescent="0.3">
      <c r="B131" s="100"/>
      <c r="D131" s="112" t="s">
        <v>112</v>
      </c>
      <c r="E131" s="112"/>
      <c r="F131" s="167"/>
      <c r="G131" s="167"/>
      <c r="H131" s="167"/>
      <c r="I131" s="167"/>
      <c r="J131" s="112"/>
      <c r="K131" s="112"/>
      <c r="L131" s="112"/>
      <c r="M131" s="112"/>
      <c r="N131" s="246">
        <f>SUM(N132:Q133)</f>
        <v>0</v>
      </c>
      <c r="O131" s="246"/>
      <c r="P131" s="246"/>
      <c r="Q131" s="246"/>
      <c r="R131" s="102"/>
      <c r="T131" s="114"/>
      <c r="W131" s="115" t="e">
        <f>SUM(#REF!)</f>
        <v>#REF!</v>
      </c>
      <c r="Y131" s="115" t="e">
        <f>SUM(#REF!)</f>
        <v>#REF!</v>
      </c>
      <c r="AA131" s="116" t="e">
        <f>SUM(#REF!)</f>
        <v>#REF!</v>
      </c>
      <c r="AR131" s="164"/>
      <c r="AT131" s="164"/>
      <c r="AU131" s="164"/>
      <c r="AY131" s="164"/>
      <c r="BK131" s="117"/>
    </row>
    <row r="132" spans="2:63" s="7" customFormat="1" ht="69" customHeight="1" x14ac:dyDescent="0.3">
      <c r="B132" s="21"/>
      <c r="C132" s="120">
        <f>C129+1</f>
        <v>12</v>
      </c>
      <c r="D132" s="120"/>
      <c r="E132" s="156"/>
      <c r="F132" s="262" t="s">
        <v>227</v>
      </c>
      <c r="G132" s="263"/>
      <c r="H132" s="263"/>
      <c r="I132" s="264"/>
      <c r="J132" s="159" t="s">
        <v>100</v>
      </c>
      <c r="K132" s="154">
        <v>1</v>
      </c>
      <c r="L132" s="258">
        <v>0</v>
      </c>
      <c r="M132" s="259"/>
      <c r="N132" s="252">
        <f>ROUND(L132*K132,2)</f>
        <v>0</v>
      </c>
      <c r="O132" s="253"/>
      <c r="P132" s="253"/>
      <c r="Q132" s="254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2:63" s="7" customFormat="1" ht="48" customHeight="1" x14ac:dyDescent="0.3">
      <c r="B133" s="21"/>
      <c r="C133" s="120">
        <f>C132+1</f>
        <v>13</v>
      </c>
      <c r="D133" s="168"/>
      <c r="E133" s="156"/>
      <c r="F133" s="262" t="s">
        <v>228</v>
      </c>
      <c r="G133" s="263"/>
      <c r="H133" s="263"/>
      <c r="I133" s="264"/>
      <c r="J133" s="159" t="s">
        <v>100</v>
      </c>
      <c r="K133" s="121">
        <v>1</v>
      </c>
      <c r="L133" s="258">
        <v>0</v>
      </c>
      <c r="M133" s="259"/>
      <c r="N133" s="252">
        <f>ROUND(L133*K133,2)</f>
        <v>0</v>
      </c>
      <c r="O133" s="253"/>
      <c r="P133" s="253"/>
      <c r="Q133" s="254"/>
      <c r="R133" s="22"/>
      <c r="T133" s="103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2:63" s="113" customFormat="1" ht="20.100000000000001" customHeight="1" x14ac:dyDescent="0.3">
      <c r="B134" s="100"/>
      <c r="D134" s="112" t="s">
        <v>111</v>
      </c>
      <c r="E134" s="112"/>
      <c r="F134" s="167"/>
      <c r="G134" s="167"/>
      <c r="H134" s="167"/>
      <c r="I134" s="167"/>
      <c r="J134" s="112"/>
      <c r="K134" s="112"/>
      <c r="L134" s="112"/>
      <c r="M134" s="112"/>
      <c r="N134" s="257">
        <f>SUM(N135:Q135)</f>
        <v>0</v>
      </c>
      <c r="O134" s="257"/>
      <c r="P134" s="257"/>
      <c r="Q134" s="257"/>
      <c r="R134" s="102"/>
      <c r="T134" s="114"/>
      <c r="W134" s="115"/>
      <c r="Y134" s="115"/>
      <c r="AA134" s="116"/>
      <c r="AR134" s="164"/>
      <c r="AT134" s="164"/>
      <c r="AU134" s="164"/>
      <c r="AY134" s="164"/>
      <c r="BK134" s="117"/>
    </row>
    <row r="135" spans="2:63" s="7" customFormat="1" ht="49.5" customHeight="1" x14ac:dyDescent="0.3">
      <c r="B135" s="21"/>
      <c r="C135" s="120">
        <f>C133+1</f>
        <v>14</v>
      </c>
      <c r="D135" s="120"/>
      <c r="E135" s="156"/>
      <c r="F135" s="267" t="s">
        <v>184</v>
      </c>
      <c r="G135" s="268"/>
      <c r="H135" s="268"/>
      <c r="I135" s="269"/>
      <c r="J135" s="159" t="s">
        <v>103</v>
      </c>
      <c r="K135" s="121">
        <v>14</v>
      </c>
      <c r="L135" s="258">
        <v>0</v>
      </c>
      <c r="M135" s="259"/>
      <c r="N135" s="252">
        <f t="shared" ref="N135" si="10">ROUND(L135*K135,2)</f>
        <v>0</v>
      </c>
      <c r="O135" s="253"/>
      <c r="P135" s="253"/>
      <c r="Q135" s="254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2:63" s="7" customFormat="1" ht="20.100000000000001" customHeight="1" x14ac:dyDescent="0.3">
      <c r="B136" s="21"/>
      <c r="C136" s="107"/>
      <c r="D136" s="112" t="s">
        <v>216</v>
      </c>
      <c r="E136" s="112"/>
      <c r="F136" s="167"/>
      <c r="G136" s="167"/>
      <c r="H136" s="167"/>
      <c r="I136" s="167"/>
      <c r="J136" s="112"/>
      <c r="K136" s="112"/>
      <c r="L136" s="112"/>
      <c r="M136" s="112"/>
      <c r="N136" s="257">
        <f>SUM(N137:Q137)</f>
        <v>0</v>
      </c>
      <c r="O136" s="257"/>
      <c r="P136" s="257"/>
      <c r="Q136" s="257"/>
      <c r="R136" s="22"/>
      <c r="T136" s="108"/>
      <c r="U136" s="27"/>
      <c r="V136" s="119"/>
      <c r="W136" s="119"/>
      <c r="X136" s="119"/>
      <c r="Y136" s="119"/>
      <c r="Z136" s="119"/>
      <c r="AA136" s="104"/>
      <c r="BE136" s="80"/>
      <c r="BF136" s="80"/>
      <c r="BG136" s="80"/>
      <c r="BH136" s="80"/>
      <c r="BI136" s="80"/>
      <c r="BK136" s="80"/>
    </row>
    <row r="137" spans="2:63" s="7" customFormat="1" ht="42" customHeight="1" x14ac:dyDescent="0.3">
      <c r="B137" s="21"/>
      <c r="C137" s="120">
        <f>C135+1</f>
        <v>15</v>
      </c>
      <c r="D137" s="120"/>
      <c r="E137" s="156"/>
      <c r="F137" s="247" t="s">
        <v>193</v>
      </c>
      <c r="G137" s="248"/>
      <c r="H137" s="248"/>
      <c r="I137" s="249"/>
      <c r="J137" s="159" t="s">
        <v>100</v>
      </c>
      <c r="K137" s="154">
        <v>1</v>
      </c>
      <c r="L137" s="258">
        <v>0</v>
      </c>
      <c r="M137" s="259"/>
      <c r="N137" s="252">
        <f>ROUND(L137*K137,2)</f>
        <v>0</v>
      </c>
      <c r="O137" s="253"/>
      <c r="P137" s="253"/>
      <c r="Q137" s="254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2:63" s="113" customFormat="1" ht="24.95" customHeight="1" x14ac:dyDescent="0.35">
      <c r="B138" s="100"/>
      <c r="D138" s="101" t="s">
        <v>117</v>
      </c>
      <c r="E138" s="101"/>
      <c r="F138" s="166"/>
      <c r="G138" s="166"/>
      <c r="H138" s="166"/>
      <c r="I138" s="166"/>
      <c r="J138" s="101"/>
      <c r="K138" s="101"/>
      <c r="L138" s="101"/>
      <c r="M138" s="101"/>
      <c r="N138" s="245">
        <f>N142+N139</f>
        <v>0</v>
      </c>
      <c r="O138" s="245"/>
      <c r="P138" s="245"/>
      <c r="Q138" s="245"/>
      <c r="R138" s="102"/>
      <c r="T138" s="114"/>
      <c r="W138" s="115"/>
      <c r="Y138" s="115"/>
      <c r="AA138" s="116"/>
      <c r="AR138" s="164"/>
      <c r="AT138" s="164"/>
      <c r="AU138" s="164"/>
      <c r="AY138" s="164"/>
      <c r="BK138" s="117"/>
    </row>
    <row r="139" spans="2:63" s="113" customFormat="1" ht="20.100000000000001" customHeight="1" x14ac:dyDescent="0.3">
      <c r="B139" s="100"/>
      <c r="D139" s="112" t="s">
        <v>113</v>
      </c>
      <c r="E139" s="112"/>
      <c r="F139" s="167"/>
      <c r="G139" s="167"/>
      <c r="H139" s="167"/>
      <c r="I139" s="167"/>
      <c r="J139" s="112"/>
      <c r="K139" s="112"/>
      <c r="L139" s="112"/>
      <c r="M139" s="112"/>
      <c r="N139" s="246">
        <f>SUM(N140:Q141)</f>
        <v>0</v>
      </c>
      <c r="O139" s="246"/>
      <c r="P139" s="246"/>
      <c r="Q139" s="246"/>
      <c r="R139" s="102"/>
      <c r="T139" s="114"/>
      <c r="W139" s="115"/>
      <c r="Y139" s="115"/>
      <c r="AA139" s="116"/>
      <c r="AR139" s="164"/>
      <c r="AT139" s="164"/>
      <c r="AU139" s="164"/>
      <c r="AY139" s="164"/>
      <c r="BK139" s="117"/>
    </row>
    <row r="140" spans="2:63" s="7" customFormat="1" ht="54" customHeight="1" x14ac:dyDescent="0.3">
      <c r="B140" s="21"/>
      <c r="C140" s="120">
        <f>C137+1</f>
        <v>16</v>
      </c>
      <c r="D140" s="120"/>
      <c r="E140" s="156"/>
      <c r="F140" s="247" t="s">
        <v>169</v>
      </c>
      <c r="G140" s="248"/>
      <c r="H140" s="248"/>
      <c r="I140" s="249"/>
      <c r="J140" s="159" t="s">
        <v>100</v>
      </c>
      <c r="K140" s="121">
        <v>1</v>
      </c>
      <c r="L140" s="258">
        <v>0</v>
      </c>
      <c r="M140" s="259"/>
      <c r="N140" s="252">
        <f t="shared" ref="N140" si="11">ROUND(L140*K140,2)</f>
        <v>0</v>
      </c>
      <c r="O140" s="253"/>
      <c r="P140" s="253"/>
      <c r="Q140" s="254"/>
      <c r="R140" s="22"/>
      <c r="T140" s="103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2:63" s="7" customFormat="1" ht="45" customHeight="1" x14ac:dyDescent="0.3">
      <c r="B141" s="21"/>
      <c r="C141" s="120">
        <f>C140+1</f>
        <v>17</v>
      </c>
      <c r="D141" s="120"/>
      <c r="E141" s="156"/>
      <c r="F141" s="247" t="s">
        <v>168</v>
      </c>
      <c r="G141" s="248"/>
      <c r="H141" s="248"/>
      <c r="I141" s="249"/>
      <c r="J141" s="159" t="s">
        <v>100</v>
      </c>
      <c r="K141" s="121">
        <v>1</v>
      </c>
      <c r="L141" s="258">
        <v>0</v>
      </c>
      <c r="M141" s="259"/>
      <c r="N141" s="252">
        <f>ROUND(L141*K141,2)</f>
        <v>0</v>
      </c>
      <c r="O141" s="253"/>
      <c r="P141" s="253"/>
      <c r="Q141" s="254"/>
      <c r="R141" s="22"/>
      <c r="T141" s="103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2:63" s="113" customFormat="1" ht="20.100000000000001" customHeight="1" x14ac:dyDescent="0.3">
      <c r="B142" s="100"/>
      <c r="D142" s="112" t="s">
        <v>158</v>
      </c>
      <c r="E142" s="112"/>
      <c r="F142" s="167"/>
      <c r="G142" s="167"/>
      <c r="H142" s="167"/>
      <c r="I142" s="167"/>
      <c r="J142" s="112"/>
      <c r="K142" s="112"/>
      <c r="L142" s="112"/>
      <c r="M142" s="112"/>
      <c r="N142" s="257">
        <f>SUM(N143:Q144)</f>
        <v>0</v>
      </c>
      <c r="O142" s="257"/>
      <c r="P142" s="257"/>
      <c r="Q142" s="257"/>
      <c r="R142" s="102"/>
      <c r="T142" s="114"/>
      <c r="W142" s="115"/>
      <c r="Y142" s="115"/>
      <c r="AA142" s="116"/>
      <c r="AR142" s="164"/>
      <c r="AT142" s="164"/>
      <c r="AU142" s="164"/>
      <c r="AY142" s="164"/>
      <c r="BK142" s="117"/>
    </row>
    <row r="143" spans="2:63" s="7" customFormat="1" ht="72.75" customHeight="1" x14ac:dyDescent="0.3">
      <c r="B143" s="21"/>
      <c r="C143" s="120">
        <f>C141+1</f>
        <v>18</v>
      </c>
      <c r="D143" s="120"/>
      <c r="E143" s="155"/>
      <c r="F143" s="247" t="s">
        <v>167</v>
      </c>
      <c r="G143" s="248"/>
      <c r="H143" s="248"/>
      <c r="I143" s="249"/>
      <c r="J143" s="158" t="s">
        <v>100</v>
      </c>
      <c r="K143" s="121">
        <v>1</v>
      </c>
      <c r="L143" s="258">
        <v>0</v>
      </c>
      <c r="M143" s="259"/>
      <c r="N143" s="252">
        <f>ROUND(L143*K143,2)</f>
        <v>0</v>
      </c>
      <c r="O143" s="253"/>
      <c r="P143" s="253"/>
      <c r="Q143" s="254"/>
      <c r="R143" s="22"/>
      <c r="T143" s="108"/>
      <c r="U143" s="27"/>
      <c r="V143" s="119"/>
      <c r="W143" s="119"/>
      <c r="X143" s="119"/>
      <c r="Y143" s="119"/>
      <c r="Z143" s="119"/>
      <c r="AA143" s="104"/>
      <c r="BE143" s="80"/>
      <c r="BF143" s="80"/>
      <c r="BG143" s="80"/>
      <c r="BH143" s="80"/>
      <c r="BI143" s="80"/>
      <c r="BK143" s="80"/>
    </row>
    <row r="144" spans="2:63" s="7" customFormat="1" ht="56.25" customHeight="1" x14ac:dyDescent="0.3">
      <c r="B144" s="21"/>
      <c r="C144" s="120">
        <f>C143+1</f>
        <v>19</v>
      </c>
      <c r="D144" s="120"/>
      <c r="E144" s="155"/>
      <c r="F144" s="247" t="s">
        <v>150</v>
      </c>
      <c r="G144" s="248"/>
      <c r="H144" s="248"/>
      <c r="I144" s="249"/>
      <c r="J144" s="159" t="s">
        <v>100</v>
      </c>
      <c r="K144" s="121">
        <v>1</v>
      </c>
      <c r="L144" s="258">
        <v>0</v>
      </c>
      <c r="M144" s="259"/>
      <c r="N144" s="252">
        <f>ROUND(L144*K144,2)</f>
        <v>0</v>
      </c>
      <c r="O144" s="253"/>
      <c r="P144" s="253"/>
      <c r="Q144" s="254"/>
      <c r="R144" s="22"/>
      <c r="T144" s="108"/>
      <c r="U144" s="27"/>
      <c r="V144" s="119"/>
      <c r="W144" s="119"/>
      <c r="X144" s="119"/>
      <c r="Y144" s="119"/>
      <c r="Z144" s="119"/>
      <c r="AA144" s="104"/>
      <c r="BE144" s="80"/>
      <c r="BF144" s="80"/>
      <c r="BG144" s="80"/>
      <c r="BH144" s="80"/>
      <c r="BI144" s="80"/>
      <c r="BK144" s="80"/>
    </row>
    <row r="145" spans="1:63" s="7" customFormat="1" ht="24.95" customHeight="1" x14ac:dyDescent="0.35">
      <c r="B145" s="21"/>
      <c r="C145" s="107"/>
      <c r="D145" s="101" t="s">
        <v>186</v>
      </c>
      <c r="E145" s="101"/>
      <c r="F145" s="166"/>
      <c r="G145" s="166"/>
      <c r="H145" s="166"/>
      <c r="I145" s="166"/>
      <c r="J145" s="101"/>
      <c r="K145" s="101"/>
      <c r="L145" s="101"/>
      <c r="M145" s="101"/>
      <c r="N145" s="245">
        <f>N146+N148</f>
        <v>0</v>
      </c>
      <c r="O145" s="245"/>
      <c r="P145" s="245"/>
      <c r="Q145" s="245"/>
      <c r="R145" s="22"/>
      <c r="T145" s="26"/>
      <c r="U145" s="27"/>
      <c r="V145" s="119"/>
      <c r="W145" s="119"/>
      <c r="X145" s="119"/>
      <c r="Y145" s="119"/>
      <c r="Z145" s="119"/>
      <c r="AA145" s="119"/>
      <c r="BE145" s="80"/>
      <c r="BF145" s="80"/>
      <c r="BG145" s="80"/>
      <c r="BH145" s="80"/>
      <c r="BI145" s="80"/>
      <c r="BK145" s="80"/>
    </row>
    <row r="146" spans="1:63" ht="20.100000000000001" customHeight="1" x14ac:dyDescent="0.3">
      <c r="A146" s="133"/>
      <c r="B146" s="21"/>
      <c r="C146" s="107"/>
      <c r="D146" s="112" t="s">
        <v>185</v>
      </c>
      <c r="E146" s="112"/>
      <c r="F146" s="167"/>
      <c r="G146" s="167"/>
      <c r="H146" s="167"/>
      <c r="I146" s="167"/>
      <c r="J146" s="112"/>
      <c r="K146" s="112"/>
      <c r="L146" s="112"/>
      <c r="M146" s="112"/>
      <c r="N146" s="246">
        <f>SUM(N147)</f>
        <v>0</v>
      </c>
      <c r="O146" s="246"/>
      <c r="P146" s="246"/>
      <c r="Q146" s="246"/>
      <c r="R146" s="22"/>
    </row>
    <row r="147" spans="1:63" ht="75" customHeight="1" x14ac:dyDescent="0.3">
      <c r="B147" s="21"/>
      <c r="C147" s="143">
        <f>C144+1</f>
        <v>20</v>
      </c>
      <c r="D147" s="144"/>
      <c r="E147" s="157"/>
      <c r="F147" s="247" t="s">
        <v>238</v>
      </c>
      <c r="G147" s="248"/>
      <c r="H147" s="248"/>
      <c r="I147" s="249"/>
      <c r="J147" s="160" t="s">
        <v>100</v>
      </c>
      <c r="K147" s="145">
        <v>1</v>
      </c>
      <c r="L147" s="250">
        <v>0</v>
      </c>
      <c r="M147" s="251"/>
      <c r="N147" s="252">
        <f>ROUND(L147*K147,2)</f>
        <v>0</v>
      </c>
      <c r="O147" s="253"/>
      <c r="P147" s="253"/>
      <c r="Q147" s="254"/>
      <c r="R147" s="22"/>
    </row>
    <row r="148" spans="1:63" ht="20.100000000000001" customHeight="1" x14ac:dyDescent="0.3">
      <c r="A148" s="133"/>
      <c r="B148" s="21"/>
      <c r="C148" s="107"/>
      <c r="D148" s="112" t="s">
        <v>217</v>
      </c>
      <c r="E148" s="112"/>
      <c r="F148" s="167"/>
      <c r="G148" s="167"/>
      <c r="H148" s="167"/>
      <c r="I148" s="167"/>
      <c r="J148" s="112"/>
      <c r="K148" s="112"/>
      <c r="L148" s="112"/>
      <c r="M148" s="112"/>
      <c r="N148" s="246">
        <f>SUM(N149:Q149)</f>
        <v>0</v>
      </c>
      <c r="O148" s="246"/>
      <c r="P148" s="246"/>
      <c r="Q148" s="246"/>
      <c r="R148" s="22"/>
    </row>
    <row r="149" spans="1:63" ht="76.5" customHeight="1" x14ac:dyDescent="0.3">
      <c r="B149" s="21"/>
      <c r="C149" s="143">
        <f>C147+1</f>
        <v>21</v>
      </c>
      <c r="D149" s="144"/>
      <c r="E149" s="157"/>
      <c r="F149" s="247" t="s">
        <v>239</v>
      </c>
      <c r="G149" s="248"/>
      <c r="H149" s="248"/>
      <c r="I149" s="249"/>
      <c r="J149" s="160" t="s">
        <v>100</v>
      </c>
      <c r="K149" s="145">
        <v>1</v>
      </c>
      <c r="L149" s="250">
        <v>0</v>
      </c>
      <c r="M149" s="251"/>
      <c r="N149" s="252">
        <f>ROUND(L149*K149,2)</f>
        <v>0</v>
      </c>
      <c r="O149" s="253"/>
      <c r="P149" s="253"/>
      <c r="Q149" s="254"/>
      <c r="R149" s="22"/>
    </row>
    <row r="150" spans="1:63" s="7" customFormat="1" ht="24.95" customHeight="1" x14ac:dyDescent="0.35">
      <c r="B150" s="21"/>
      <c r="C150" s="107"/>
      <c r="D150" s="101" t="s">
        <v>218</v>
      </c>
      <c r="E150" s="101"/>
      <c r="F150" s="166"/>
      <c r="G150" s="166"/>
      <c r="H150" s="166"/>
      <c r="I150" s="166"/>
      <c r="J150" s="101"/>
      <c r="K150" s="101"/>
      <c r="L150" s="101"/>
      <c r="M150" s="101"/>
      <c r="N150" s="245">
        <f>N151</f>
        <v>0</v>
      </c>
      <c r="O150" s="245"/>
      <c r="P150" s="245"/>
      <c r="Q150" s="245"/>
      <c r="R150" s="22"/>
      <c r="T150" s="26"/>
      <c r="U150" s="27"/>
      <c r="V150" s="119"/>
      <c r="W150" s="119"/>
      <c r="X150" s="119"/>
      <c r="Y150" s="119"/>
      <c r="Z150" s="119"/>
      <c r="AA150" s="119"/>
      <c r="BE150" s="80"/>
      <c r="BF150" s="80"/>
      <c r="BG150" s="80"/>
      <c r="BH150" s="80"/>
      <c r="BI150" s="80"/>
      <c r="BK150" s="80"/>
    </row>
    <row r="151" spans="1:63" ht="20.100000000000001" customHeight="1" x14ac:dyDescent="0.3">
      <c r="A151" s="133"/>
      <c r="B151" s="21"/>
      <c r="C151" s="107"/>
      <c r="D151" s="112" t="s">
        <v>219</v>
      </c>
      <c r="E151" s="112"/>
      <c r="F151" s="167"/>
      <c r="G151" s="167"/>
      <c r="H151" s="167"/>
      <c r="I151" s="167"/>
      <c r="J151" s="112"/>
      <c r="K151" s="112"/>
      <c r="L151" s="112"/>
      <c r="M151" s="112"/>
      <c r="N151" s="246">
        <f>SUM(N152:Q152)</f>
        <v>0</v>
      </c>
      <c r="O151" s="246"/>
      <c r="P151" s="246"/>
      <c r="Q151" s="246"/>
      <c r="R151" s="22"/>
    </row>
    <row r="152" spans="1:63" ht="83.25" customHeight="1" x14ac:dyDescent="0.3">
      <c r="B152" s="21"/>
      <c r="C152" s="143">
        <f>C149+1</f>
        <v>22</v>
      </c>
      <c r="D152" s="144"/>
      <c r="E152" s="157"/>
      <c r="F152" s="247" t="s">
        <v>240</v>
      </c>
      <c r="G152" s="248"/>
      <c r="H152" s="248"/>
      <c r="I152" s="249"/>
      <c r="J152" s="160" t="s">
        <v>100</v>
      </c>
      <c r="K152" s="145">
        <v>1</v>
      </c>
      <c r="L152" s="250">
        <v>0</v>
      </c>
      <c r="M152" s="251"/>
      <c r="N152" s="252">
        <f>ROUND(L152*K152,2)</f>
        <v>0</v>
      </c>
      <c r="O152" s="253"/>
      <c r="P152" s="253"/>
      <c r="Q152" s="254"/>
      <c r="R152" s="22"/>
    </row>
    <row r="153" spans="1:63" ht="14.25" customHeight="1" x14ac:dyDescent="0.3"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110"/>
    </row>
  </sheetData>
  <sheetProtection algorithmName="SHA-512" hashValue="N42at7FW/FoV7ByX1s1oIwd2O0UeURjv8WXOOSYKwMY3kyGpSZv/O7yWaTbg4tc4UGMCR5VZ0vykiYqzB3TTcw==" saltValue="0dML+4dTJSsVgTjDyV/riA==" spinCount="100000" sheet="1" objects="1" scenarios="1" selectLockedCells="1"/>
  <mergeCells count="144"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H1:K1"/>
    <mergeCell ref="N118:Q118"/>
    <mergeCell ref="H31:J31"/>
    <mergeCell ref="M31:P31"/>
    <mergeCell ref="H32:J32"/>
    <mergeCell ref="M32:P32"/>
    <mergeCell ref="F102:P102"/>
    <mergeCell ref="L115:M115"/>
    <mergeCell ref="L118:M118"/>
    <mergeCell ref="M106:P106"/>
    <mergeCell ref="F81:K81"/>
    <mergeCell ref="L35:P35"/>
    <mergeCell ref="C75:Q75"/>
    <mergeCell ref="F77:P77"/>
    <mergeCell ref="F78:P78"/>
    <mergeCell ref="F79:P79"/>
    <mergeCell ref="M81:P81"/>
    <mergeCell ref="C100:Q100"/>
    <mergeCell ref="N91:Q91"/>
    <mergeCell ref="N115:Q115"/>
    <mergeCell ref="N112:Q112"/>
    <mergeCell ref="N113:Q113"/>
    <mergeCell ref="N114:Q114"/>
    <mergeCell ref="C86:G86"/>
    <mergeCell ref="L94:Q94"/>
    <mergeCell ref="F115:I115"/>
    <mergeCell ref="L111:M111"/>
    <mergeCell ref="N111:Q111"/>
    <mergeCell ref="F103:P103"/>
    <mergeCell ref="F104:P104"/>
    <mergeCell ref="M109:Q109"/>
    <mergeCell ref="N117:Q117"/>
    <mergeCell ref="N121:Q121"/>
    <mergeCell ref="M108:Q108"/>
    <mergeCell ref="F116:I116"/>
    <mergeCell ref="L116:M116"/>
    <mergeCell ref="N116:Q116"/>
    <mergeCell ref="F118:I118"/>
    <mergeCell ref="F119:I119"/>
    <mergeCell ref="L119:M119"/>
    <mergeCell ref="L120:M120"/>
    <mergeCell ref="F120:I120"/>
    <mergeCell ref="N120:Q120"/>
    <mergeCell ref="N144:Q144"/>
    <mergeCell ref="L143:M143"/>
    <mergeCell ref="F141:I141"/>
    <mergeCell ref="N141:Q141"/>
    <mergeCell ref="N119:Q119"/>
    <mergeCell ref="F144:I144"/>
    <mergeCell ref="L144:M144"/>
    <mergeCell ref="F126:I126"/>
    <mergeCell ref="L126:M126"/>
    <mergeCell ref="N126:Q126"/>
    <mergeCell ref="F125:I125"/>
    <mergeCell ref="N125:Q125"/>
    <mergeCell ref="N123:Q123"/>
    <mergeCell ref="N122:Q122"/>
    <mergeCell ref="L123:M123"/>
    <mergeCell ref="F122:I122"/>
    <mergeCell ref="L122:M122"/>
    <mergeCell ref="N138:Q138"/>
    <mergeCell ref="F143:I143"/>
    <mergeCell ref="L135:M135"/>
    <mergeCell ref="F135:I135"/>
    <mergeCell ref="L133:M133"/>
    <mergeCell ref="L132:M132"/>
    <mergeCell ref="F133:I133"/>
    <mergeCell ref="N140:Q140"/>
    <mergeCell ref="L137:M137"/>
    <mergeCell ref="N137:Q137"/>
    <mergeCell ref="F137:I137"/>
    <mergeCell ref="N136:Q136"/>
    <mergeCell ref="F111:I111"/>
    <mergeCell ref="N135:Q135"/>
    <mergeCell ref="N131:Q131"/>
    <mergeCell ref="F132:I132"/>
    <mergeCell ref="N132:Q132"/>
    <mergeCell ref="N124:Q124"/>
    <mergeCell ref="N128:Q128"/>
    <mergeCell ref="F129:I129"/>
    <mergeCell ref="L129:M129"/>
    <mergeCell ref="N129:Q129"/>
    <mergeCell ref="F127:I127"/>
    <mergeCell ref="L127:M127"/>
    <mergeCell ref="N127:Q127"/>
    <mergeCell ref="F123:I123"/>
    <mergeCell ref="L125:M125"/>
    <mergeCell ref="N150:Q150"/>
    <mergeCell ref="N151:Q151"/>
    <mergeCell ref="F152:I152"/>
    <mergeCell ref="L152:M152"/>
    <mergeCell ref="N152:Q152"/>
    <mergeCell ref="N92:Q92"/>
    <mergeCell ref="F149:I149"/>
    <mergeCell ref="L149:M149"/>
    <mergeCell ref="N148:Q148"/>
    <mergeCell ref="N149:Q149"/>
    <mergeCell ref="F147:I147"/>
    <mergeCell ref="L147:M147"/>
    <mergeCell ref="N147:Q147"/>
    <mergeCell ref="N146:Q146"/>
    <mergeCell ref="N133:Q133"/>
    <mergeCell ref="N130:Q130"/>
    <mergeCell ref="N134:Q134"/>
    <mergeCell ref="N143:Q143"/>
    <mergeCell ref="N142:Q142"/>
    <mergeCell ref="N139:Q139"/>
    <mergeCell ref="L141:M141"/>
    <mergeCell ref="L140:M140"/>
    <mergeCell ref="N145:Q145"/>
    <mergeCell ref="F140:I140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2 N136 N134 N128 N124 N121 N117" formula="1"/>
    <ignoredError sqref="K120 K11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20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29" ht="24.95" customHeight="1" x14ac:dyDescent="0.3">
      <c r="B7" s="11"/>
      <c r="D7" s="18" t="s">
        <v>75</v>
      </c>
      <c r="F7" s="281" t="str">
        <f>Rekapitulace!J88</f>
        <v>Umístění nové prefabrikované trafostanice o výkonu 2 000 kVA, včetně vybavení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Rekapitulace!J88</f>
        <v>Umístění nové prefabrikované trafostanice o výkonu 2 000 kVA, včetně vybavení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5" t="str">
        <f>Rekapitulace!L79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$N$88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(H29)*$F$29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16"/>
      <c r="J30" s="216"/>
      <c r="M30" s="283"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(SUM($BG$90:$BG$90)+SUM($BG$109:$BG$113))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(SUM($BH$90:$BH$90)+SUM($BH$109:$BH$113))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(SUM($BI$90:$BI$90)+SUM($BI$109:$BI$113))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R77" s="22"/>
    </row>
    <row r="78" spans="2:18" ht="24.95" customHeight="1" x14ac:dyDescent="0.3">
      <c r="B78" s="11"/>
      <c r="C78" s="18" t="s">
        <v>75</v>
      </c>
      <c r="F78" s="281" t="str">
        <f>F7</f>
        <v>Umístění nové prefabrikované trafostanice o výkonu 2 000 kVA, včetně vybavení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R78" s="12"/>
    </row>
    <row r="79" spans="2:18" s="7" customFormat="1" ht="37.5" customHeight="1" x14ac:dyDescent="0.3">
      <c r="B79" s="21"/>
      <c r="C79" s="50" t="s">
        <v>76</v>
      </c>
      <c r="F79" s="233" t="str">
        <f>F8</f>
        <v>Umístění nové prefabrikované trafostanice o výkonu 2 000 kVA, včetně vybavení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7">
        <f>ROUND($N$109,2)</f>
        <v>0</v>
      </c>
      <c r="O88" s="216"/>
      <c r="P88" s="216"/>
      <c r="Q88" s="216"/>
      <c r="R88" s="22"/>
    </row>
    <row r="89" spans="2:18" s="63" customFormat="1" ht="20.100000000000001" customHeight="1" x14ac:dyDescent="0.35">
      <c r="B89" s="89"/>
      <c r="D89" s="101" t="str">
        <f>D110</f>
        <v xml:space="preserve">Nová trafostanice </v>
      </c>
      <c r="N89" s="255">
        <f>$N$110</f>
        <v>0</v>
      </c>
      <c r="O89" s="256"/>
      <c r="P89" s="256"/>
      <c r="Q89" s="256"/>
      <c r="R89" s="90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2">
        <f>ROUND(SUM($N$89:$Q$89),2)</f>
        <v>0</v>
      </c>
      <c r="M91" s="243"/>
      <c r="N91" s="243"/>
      <c r="O91" s="243"/>
      <c r="P91" s="243"/>
      <c r="Q91" s="243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1" t="s">
        <v>83</v>
      </c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81" t="str">
        <f>$F$6</f>
        <v>Instalace nové fotovoltaické elektrárny s výkonem 1 765,8 kWp v areálu Cerekvice nad Bystřicí společnosti ČEPRO, a.s.</v>
      </c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R99" s="131"/>
    </row>
    <row r="100" spans="2:63" ht="24.95" customHeight="1" x14ac:dyDescent="0.3">
      <c r="B100" s="132"/>
      <c r="C100" s="18" t="s">
        <v>75</v>
      </c>
      <c r="F100" s="281" t="str">
        <f>F7</f>
        <v>Umístění nové prefabrikované trafostanice o výkonu 2 000 kVA, včetně vybavení</v>
      </c>
      <c r="G100" s="210"/>
      <c r="H100" s="210"/>
      <c r="I100" s="210"/>
      <c r="J100" s="210"/>
      <c r="K100" s="210"/>
      <c r="L100" s="210"/>
      <c r="M100" s="210"/>
      <c r="N100" s="210"/>
      <c r="O100" s="210"/>
      <c r="P100" s="210"/>
      <c r="R100" s="133"/>
    </row>
    <row r="101" spans="2:63" s="7" customFormat="1" ht="37.5" customHeight="1" x14ac:dyDescent="0.3">
      <c r="B101" s="130"/>
      <c r="C101" s="50" t="s">
        <v>76</v>
      </c>
      <c r="F101" s="233" t="str">
        <f>F8</f>
        <v>Umístění nové prefabrikované trafostanice o výkonu 2 000 kVA, včetně vybavení</v>
      </c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Cerekvice nad Bystřicí</v>
      </c>
      <c r="L103" s="18" t="s">
        <v>16</v>
      </c>
      <c r="M103" s="234">
        <f ca="1">IF($O$10="","",$O$10)</f>
        <v>45306</v>
      </c>
      <c r="N103" s="216"/>
      <c r="O103" s="216"/>
      <c r="P103" s="216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5" t="str">
        <f>$E$19</f>
        <v>YOUNG4ENERGY s.r.o.</v>
      </c>
      <c r="N105" s="216"/>
      <c r="O105" s="216"/>
      <c r="P105" s="216"/>
      <c r="Q105" s="216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5" t="str">
        <f>$E$22</f>
        <v>YOUNG4ENERGY s.r.o.</v>
      </c>
      <c r="N106" s="216"/>
      <c r="O106" s="216"/>
      <c r="P106" s="216"/>
      <c r="Q106" s="216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0" t="s">
        <v>86</v>
      </c>
      <c r="G108" s="261"/>
      <c r="H108" s="261"/>
      <c r="I108" s="261"/>
      <c r="J108" s="165" t="s">
        <v>87</v>
      </c>
      <c r="K108" s="165" t="s">
        <v>88</v>
      </c>
      <c r="L108" s="260" t="s">
        <v>89</v>
      </c>
      <c r="M108" s="261"/>
      <c r="N108" s="260" t="s">
        <v>90</v>
      </c>
      <c r="O108" s="261"/>
      <c r="P108" s="261"/>
      <c r="Q108" s="28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N109" s="237">
        <f>N110</f>
        <v>0</v>
      </c>
      <c r="O109" s="216"/>
      <c r="P109" s="216"/>
      <c r="Q109" s="216"/>
      <c r="R109" s="131"/>
      <c r="T109" s="57"/>
      <c r="U109" s="34"/>
      <c r="V109" s="34"/>
      <c r="W109" s="97" t="e">
        <f>$W$110+#REF!+#REF!</f>
        <v>#REF!</v>
      </c>
      <c r="X109" s="34"/>
      <c r="Y109" s="97" t="e">
        <f>$Y$110+#REF!+#REF!</f>
        <v>#REF!</v>
      </c>
      <c r="Z109" s="34"/>
      <c r="AA109" s="98" t="e">
        <f>$AA$110+#REF!+#REF!</f>
        <v>#REF!</v>
      </c>
      <c r="BK109" s="99"/>
    </row>
    <row r="110" spans="2:63" s="113" customFormat="1" ht="24.95" customHeight="1" x14ac:dyDescent="0.35">
      <c r="B110" s="136"/>
      <c r="D110" s="101" t="s">
        <v>209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87">
        <f>N111</f>
        <v>0</v>
      </c>
      <c r="O110" s="266"/>
      <c r="P110" s="266"/>
      <c r="Q110" s="266"/>
      <c r="R110" s="137"/>
      <c r="T110" s="114"/>
      <c r="W110" s="115" t="e">
        <f>$W$111+#REF!+#REF!+#REF!+#REF!+#REF!</f>
        <v>#REF!</v>
      </c>
      <c r="Y110" s="115" t="e">
        <f>$Y$111+#REF!+#REF!+#REF!+#REF!+#REF!</f>
        <v>#REF!</v>
      </c>
      <c r="AA110" s="116" t="e">
        <f>$AA$111+#REF!+#REF!+#REF!+#REF!+#REF!</f>
        <v>#REF!</v>
      </c>
      <c r="AR110" s="164"/>
      <c r="AT110" s="164"/>
      <c r="AU110" s="164"/>
      <c r="AY110" s="164"/>
      <c r="BK110" s="117"/>
    </row>
    <row r="111" spans="2:63" s="113" customFormat="1" ht="20.100000000000001" customHeight="1" x14ac:dyDescent="0.3">
      <c r="B111" s="136"/>
      <c r="D111" s="112" t="s">
        <v>210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5">
        <f>SUM(N112:Q114)</f>
        <v>0</v>
      </c>
      <c r="O111" s="266"/>
      <c r="P111" s="266"/>
      <c r="Q111" s="266"/>
      <c r="R111" s="137"/>
      <c r="T111" s="114"/>
      <c r="W111" s="115">
        <f>SUM($W$113:$W$113)</f>
        <v>0</v>
      </c>
      <c r="Y111" s="115">
        <f>SUM($Y$113:$Y$113)</f>
        <v>0</v>
      </c>
      <c r="AA111" s="116">
        <f>SUM($AA$113:$AA$113)</f>
        <v>0</v>
      </c>
      <c r="AR111" s="164"/>
      <c r="AT111" s="164"/>
      <c r="AU111" s="164"/>
      <c r="AY111" s="164"/>
      <c r="BK111" s="117"/>
    </row>
    <row r="112" spans="2:63" s="113" customFormat="1" ht="315.75" customHeight="1" x14ac:dyDescent="0.3">
      <c r="B112" s="136"/>
      <c r="C112" s="150">
        <v>1</v>
      </c>
      <c r="D112" s="150"/>
      <c r="E112" s="161"/>
      <c r="F112" s="295" t="s">
        <v>229</v>
      </c>
      <c r="G112" s="296" t="s">
        <v>211</v>
      </c>
      <c r="H112" s="296" t="s">
        <v>211</v>
      </c>
      <c r="I112" s="296" t="s">
        <v>211</v>
      </c>
      <c r="J112" s="162" t="s">
        <v>100</v>
      </c>
      <c r="K112" s="151">
        <v>1</v>
      </c>
      <c r="L112" s="300">
        <v>0</v>
      </c>
      <c r="M112" s="300"/>
      <c r="N112" s="304">
        <f t="shared" ref="N112" si="0">ROUND(L112*K112,2)</f>
        <v>0</v>
      </c>
      <c r="O112" s="304"/>
      <c r="P112" s="304"/>
      <c r="Q112" s="304"/>
      <c r="R112" s="137"/>
      <c r="T112" s="114"/>
      <c r="W112" s="115"/>
      <c r="Y112" s="115"/>
      <c r="AA112" s="116"/>
      <c r="AR112" s="164"/>
      <c r="AT112" s="164"/>
      <c r="AU112" s="164"/>
      <c r="AY112" s="164"/>
      <c r="BK112" s="117"/>
    </row>
    <row r="113" spans="2:63" s="125" customFormat="1" ht="64.5" customHeight="1" x14ac:dyDescent="0.3">
      <c r="B113" s="149"/>
      <c r="C113" s="150">
        <f>C112+1</f>
        <v>2</v>
      </c>
      <c r="D113" s="150"/>
      <c r="E113" s="161"/>
      <c r="F113" s="297" t="s">
        <v>220</v>
      </c>
      <c r="G113" s="298"/>
      <c r="H113" s="298"/>
      <c r="I113" s="299"/>
      <c r="J113" s="162" t="s">
        <v>100</v>
      </c>
      <c r="K113" s="151">
        <v>1</v>
      </c>
      <c r="L113" s="300">
        <v>0</v>
      </c>
      <c r="M113" s="300"/>
      <c r="N113" s="304">
        <f t="shared" ref="N113:N114" si="1">ROUND(L113*K113,2)</f>
        <v>0</v>
      </c>
      <c r="O113" s="304"/>
      <c r="P113" s="304"/>
      <c r="Q113" s="304"/>
      <c r="R113" s="152"/>
      <c r="T113" s="108"/>
      <c r="U113" s="27"/>
      <c r="V113" s="119"/>
      <c r="W113" s="119"/>
      <c r="X113" s="119"/>
      <c r="Y113" s="119"/>
      <c r="Z113" s="119"/>
      <c r="AA113" s="104"/>
      <c r="BE113" s="153"/>
      <c r="BF113" s="153"/>
      <c r="BG113" s="153"/>
      <c r="BH113" s="153"/>
      <c r="BI113" s="153"/>
      <c r="BK113" s="153"/>
    </row>
    <row r="114" spans="2:63" s="125" customFormat="1" ht="116.25" customHeight="1" x14ac:dyDescent="0.3">
      <c r="B114" s="149"/>
      <c r="C114" s="150">
        <f>C113+1</f>
        <v>3</v>
      </c>
      <c r="D114" s="150"/>
      <c r="E114" s="161"/>
      <c r="F114" s="301" t="s">
        <v>230</v>
      </c>
      <c r="G114" s="302"/>
      <c r="H114" s="302"/>
      <c r="I114" s="303"/>
      <c r="J114" s="162" t="s">
        <v>100</v>
      </c>
      <c r="K114" s="151">
        <v>1</v>
      </c>
      <c r="L114" s="300">
        <v>0</v>
      </c>
      <c r="M114" s="300"/>
      <c r="N114" s="304">
        <f t="shared" si="1"/>
        <v>0</v>
      </c>
      <c r="O114" s="304"/>
      <c r="P114" s="304"/>
      <c r="Q114" s="304"/>
      <c r="R114" s="152"/>
      <c r="T114" s="103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2:63" ht="14.25" customHeight="1" x14ac:dyDescent="0.3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110"/>
    </row>
  </sheetData>
  <sheetProtection algorithmName="SHA-512" hashValue="usf0t0mCvT97jI43sKB65TjWWpS/cEas9qHbVp4LcJXgEL1+/su0h6o/fC2mYRWOZGn0f61wu0Jk1sYaS9JoVw==" saltValue="m0FEDhR1Lvel2hV2B/2ijQ==" spinCount="100000" sheet="1" objects="1" scenarios="1" selectLockedCells="1"/>
  <mergeCells count="66"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30:J30"/>
    <mergeCell ref="M30:P30"/>
    <mergeCell ref="O19:P19"/>
    <mergeCell ref="O21:P21"/>
    <mergeCell ref="O22:P22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L91:Q91"/>
    <mergeCell ref="C97:Q97"/>
    <mergeCell ref="M83:Q83"/>
    <mergeCell ref="M84:Q84"/>
    <mergeCell ref="C86:G86"/>
    <mergeCell ref="N86:Q86"/>
    <mergeCell ref="N88:Q88"/>
    <mergeCell ref="N89:Q89"/>
    <mergeCell ref="F99:P99"/>
    <mergeCell ref="F100:P100"/>
    <mergeCell ref="F101:P101"/>
    <mergeCell ref="M103:P103"/>
    <mergeCell ref="M105:Q105"/>
    <mergeCell ref="F112:I112"/>
    <mergeCell ref="M106:Q106"/>
    <mergeCell ref="F113:I113"/>
    <mergeCell ref="L113:M113"/>
    <mergeCell ref="F114:I114"/>
    <mergeCell ref="L114:M114"/>
    <mergeCell ref="N114:Q114"/>
    <mergeCell ref="N113:Q113"/>
    <mergeCell ref="F108:I108"/>
    <mergeCell ref="L108:M108"/>
    <mergeCell ref="N108:Q108"/>
    <mergeCell ref="N109:Q109"/>
    <mergeCell ref="N110:Q110"/>
    <mergeCell ref="N111:Q111"/>
    <mergeCell ref="L112:M112"/>
    <mergeCell ref="N112:Q112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B1:BK119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3" sqref="L113:M113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20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29" ht="24.95" customHeight="1" x14ac:dyDescent="0.3">
      <c r="B7" s="11"/>
      <c r="D7" s="18" t="s">
        <v>75</v>
      </c>
      <c r="F7" s="281" t="str">
        <f>Rekapitulace!J89</f>
        <v>Oplocení včetně vrat a elektronické zabezpečovací služby a osvětlení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Rekapitulace!J89</f>
        <v>Oplocení včetně vrat a elektronické zabezpečovací služby a osvětlení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5" t="str">
        <f>Rekapitulace!L79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$N$88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(H29)*$F$29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16"/>
      <c r="J30" s="216"/>
      <c r="M30" s="283"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(SUM($BG$91:$BG$91)+SUM($BG$110:$BG$110))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(SUM($BH$91:$BH$91)+SUM($BH$110:$BH$110))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(SUM($BI$91:$BI$91)+SUM($BI$110:$BI$110))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R77" s="22"/>
    </row>
    <row r="78" spans="2:18" ht="24.95" customHeight="1" x14ac:dyDescent="0.3">
      <c r="B78" s="11"/>
      <c r="C78" s="18" t="s">
        <v>75</v>
      </c>
      <c r="F78" s="281" t="str">
        <f>F7</f>
        <v>Oplocení včetně vrat a elektronické zabezpečovací služby a osvětlení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R78" s="12"/>
    </row>
    <row r="79" spans="2:18" s="7" customFormat="1" ht="37.5" customHeight="1" x14ac:dyDescent="0.3">
      <c r="B79" s="21"/>
      <c r="C79" s="50" t="s">
        <v>76</v>
      </c>
      <c r="F79" s="233" t="str">
        <f>F8</f>
        <v>Oplocení včetně vrat a elektronické zabezpečovací služby a osvětlení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7">
        <f>ROUND($N$110,2)</f>
        <v>0</v>
      </c>
      <c r="O88" s="216"/>
      <c r="P88" s="216"/>
      <c r="Q88" s="216"/>
      <c r="R88" s="22"/>
    </row>
    <row r="89" spans="2:18" s="75" customFormat="1" ht="20.100000000000001" customHeight="1" x14ac:dyDescent="0.35">
      <c r="B89" s="91"/>
      <c r="D89" s="101" t="str">
        <f>D111</f>
        <v>Vytvoření oplocení nově budované pozemnní FVE</v>
      </c>
      <c r="E89" s="63"/>
      <c r="F89" s="63"/>
      <c r="G89" s="63"/>
      <c r="H89" s="63"/>
      <c r="I89" s="63"/>
      <c r="J89" s="63"/>
      <c r="K89" s="63"/>
      <c r="L89" s="63"/>
      <c r="M89" s="63"/>
      <c r="N89" s="255">
        <f>N111</f>
        <v>0</v>
      </c>
      <c r="O89" s="256"/>
      <c r="P89" s="256"/>
      <c r="Q89" s="256"/>
      <c r="R89" s="92"/>
    </row>
    <row r="90" spans="2:18" s="75" customFormat="1" ht="20.100000000000001" customHeight="1" x14ac:dyDescent="0.35">
      <c r="B90" s="91"/>
      <c r="D90" s="101" t="str">
        <f>D115</f>
        <v>Vytvoření systému osvětlení nově budované pozemní FVE</v>
      </c>
      <c r="E90" s="63"/>
      <c r="F90" s="63"/>
      <c r="G90" s="63"/>
      <c r="H90" s="63"/>
      <c r="I90" s="63"/>
      <c r="J90" s="63"/>
      <c r="K90" s="63"/>
      <c r="L90" s="63"/>
      <c r="M90" s="63"/>
      <c r="N90" s="255">
        <f>N115</f>
        <v>0</v>
      </c>
      <c r="O90" s="256"/>
      <c r="P90" s="256"/>
      <c r="Q90" s="256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42">
        <f>ROUND(SUM($N$89:$Q$90),2)</f>
        <v>0</v>
      </c>
      <c r="M92" s="243"/>
      <c r="N92" s="243"/>
      <c r="O92" s="243"/>
      <c r="P92" s="243"/>
      <c r="Q92" s="243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11" t="s">
        <v>83</v>
      </c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81" t="str">
        <f>$F$6</f>
        <v>Instalace nové fotovoltaické elektrárny s výkonem 1 765,8 kWp v areálu Cerekvice nad Bystřicí společnosti ČEPRO, a.s.</v>
      </c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R100" s="131"/>
    </row>
    <row r="101" spans="2:63" ht="24.95" customHeight="1" x14ac:dyDescent="0.3">
      <c r="B101" s="132"/>
      <c r="C101" s="18" t="s">
        <v>75</v>
      </c>
      <c r="F101" s="281" t="str">
        <f>F7</f>
        <v>Oplocení včetně vrat a elektronické zabezpečovací služby a osvětlení</v>
      </c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R101" s="133"/>
    </row>
    <row r="102" spans="2:63" s="7" customFormat="1" ht="52.5" customHeight="1" x14ac:dyDescent="0.3">
      <c r="B102" s="130"/>
      <c r="C102" s="50" t="s">
        <v>76</v>
      </c>
      <c r="F102" s="233" t="str">
        <f>F8</f>
        <v>Oplocení včetně vrat a elektronické zabezpečovací služby a osvětlení</v>
      </c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Cerekvice nad Bystřicí</v>
      </c>
      <c r="L104" s="18" t="s">
        <v>16</v>
      </c>
      <c r="M104" s="234">
        <f ca="1">IF($O$10="","",$O$10)</f>
        <v>45306</v>
      </c>
      <c r="N104" s="216"/>
      <c r="O104" s="216"/>
      <c r="P104" s="216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5" t="str">
        <f>$E$19</f>
        <v>YOUNG4ENERGY s.r.o.</v>
      </c>
      <c r="N106" s="216"/>
      <c r="O106" s="216"/>
      <c r="P106" s="216"/>
      <c r="Q106" s="216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5" t="str">
        <f>$E$22</f>
        <v>YOUNG4ENERGY s.r.o.</v>
      </c>
      <c r="N107" s="216"/>
      <c r="O107" s="216"/>
      <c r="P107" s="216"/>
      <c r="Q107" s="216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0" t="s">
        <v>86</v>
      </c>
      <c r="G109" s="261"/>
      <c r="H109" s="261"/>
      <c r="I109" s="261"/>
      <c r="J109" s="165" t="s">
        <v>87</v>
      </c>
      <c r="K109" s="165" t="s">
        <v>88</v>
      </c>
      <c r="L109" s="260" t="s">
        <v>89</v>
      </c>
      <c r="M109" s="261"/>
      <c r="N109" s="260" t="s">
        <v>90</v>
      </c>
      <c r="O109" s="261"/>
      <c r="P109" s="261"/>
      <c r="Q109" s="280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7">
        <f>N111+N115</f>
        <v>0</v>
      </c>
      <c r="O110" s="216"/>
      <c r="P110" s="216"/>
      <c r="Q110" s="216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194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87">
        <f>N112</f>
        <v>0</v>
      </c>
      <c r="O111" s="287"/>
      <c r="P111" s="287"/>
      <c r="Q111" s="287"/>
      <c r="R111" s="131"/>
    </row>
    <row r="112" spans="2:63" ht="20.100000000000001" customHeight="1" x14ac:dyDescent="0.3">
      <c r="B112" s="130"/>
      <c r="C112" s="107"/>
      <c r="D112" s="112" t="s">
        <v>196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6">
        <f>SUM(N113:Q114)</f>
        <v>0</v>
      </c>
      <c r="O112" s="246"/>
      <c r="P112" s="246"/>
      <c r="Q112" s="246"/>
      <c r="R112" s="131"/>
    </row>
    <row r="113" spans="2:63" s="7" customFormat="1" ht="74.25" customHeight="1" x14ac:dyDescent="0.3">
      <c r="B113" s="130"/>
      <c r="C113" s="120">
        <v>1</v>
      </c>
      <c r="D113" s="122"/>
      <c r="E113" s="173"/>
      <c r="F113" s="305" t="s">
        <v>231</v>
      </c>
      <c r="G113" s="306" t="s">
        <v>163</v>
      </c>
      <c r="H113" s="306" t="s">
        <v>163</v>
      </c>
      <c r="I113" s="307" t="s">
        <v>163</v>
      </c>
      <c r="J113" s="174" t="s">
        <v>100</v>
      </c>
      <c r="K113" s="121">
        <v>1</v>
      </c>
      <c r="L113" s="258">
        <v>0</v>
      </c>
      <c r="M113" s="259"/>
      <c r="N113" s="270">
        <f t="shared" ref="N113:N114" si="0">ROUND(L113*K113,2)</f>
        <v>0</v>
      </c>
      <c r="O113" s="271"/>
      <c r="P113" s="271"/>
      <c r="Q113" s="271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s="7" customFormat="1" ht="72.75" customHeight="1" x14ac:dyDescent="0.3">
      <c r="B114" s="130"/>
      <c r="C114" s="120">
        <f>C113+1</f>
        <v>2</v>
      </c>
      <c r="D114" s="122"/>
      <c r="E114" s="173"/>
      <c r="F114" s="305" t="s">
        <v>203</v>
      </c>
      <c r="G114" s="306"/>
      <c r="H114" s="306"/>
      <c r="I114" s="307"/>
      <c r="J114" s="174" t="s">
        <v>100</v>
      </c>
      <c r="K114" s="121">
        <v>1</v>
      </c>
      <c r="L114" s="258">
        <v>0</v>
      </c>
      <c r="M114" s="259"/>
      <c r="N114" s="270">
        <f t="shared" si="0"/>
        <v>0</v>
      </c>
      <c r="O114" s="271"/>
      <c r="P114" s="271"/>
      <c r="Q114" s="271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2:63" ht="24.95" customHeight="1" x14ac:dyDescent="0.35">
      <c r="B115" s="130"/>
      <c r="C115" s="107"/>
      <c r="D115" s="101" t="s">
        <v>195</v>
      </c>
      <c r="E115" s="101"/>
      <c r="F115" s="170"/>
      <c r="G115" s="170"/>
      <c r="H115" s="170"/>
      <c r="I115" s="170"/>
      <c r="J115" s="101"/>
      <c r="K115" s="101"/>
      <c r="L115" s="101"/>
      <c r="M115" s="101"/>
      <c r="N115" s="287">
        <f>N116</f>
        <v>0</v>
      </c>
      <c r="O115" s="287"/>
      <c r="P115" s="287"/>
      <c r="Q115" s="287"/>
      <c r="R115" s="131"/>
    </row>
    <row r="116" spans="2:63" ht="20.100000000000001" customHeight="1" x14ac:dyDescent="0.3">
      <c r="B116" s="130"/>
      <c r="C116" s="107"/>
      <c r="D116" s="112" t="s">
        <v>197</v>
      </c>
      <c r="E116" s="141"/>
      <c r="F116" s="171"/>
      <c r="G116" s="171"/>
      <c r="H116" s="171"/>
      <c r="I116" s="171"/>
      <c r="J116" s="146"/>
      <c r="K116" s="142"/>
      <c r="L116" s="7"/>
      <c r="M116" s="7"/>
      <c r="N116" s="246">
        <f>SUM(N117:Q118)</f>
        <v>0</v>
      </c>
      <c r="O116" s="246"/>
      <c r="P116" s="246"/>
      <c r="Q116" s="246"/>
      <c r="R116" s="131"/>
    </row>
    <row r="117" spans="2:63" s="7" customFormat="1" ht="60.75" customHeight="1" x14ac:dyDescent="0.3">
      <c r="B117" s="130"/>
      <c r="C117" s="120">
        <f>C114+1</f>
        <v>3</v>
      </c>
      <c r="D117" s="122"/>
      <c r="E117" s="155"/>
      <c r="F117" s="247" t="s">
        <v>221</v>
      </c>
      <c r="G117" s="248"/>
      <c r="H117" s="248"/>
      <c r="I117" s="249"/>
      <c r="J117" s="158" t="s">
        <v>100</v>
      </c>
      <c r="K117" s="121">
        <v>1</v>
      </c>
      <c r="L117" s="258">
        <v>0</v>
      </c>
      <c r="M117" s="259"/>
      <c r="N117" s="270">
        <f t="shared" ref="N117" si="1">ROUND(L117*K117,2)</f>
        <v>0</v>
      </c>
      <c r="O117" s="271"/>
      <c r="P117" s="271"/>
      <c r="Q117" s="271"/>
      <c r="R117" s="131"/>
      <c r="T117" s="103"/>
      <c r="U117" s="27" t="s">
        <v>27</v>
      </c>
      <c r="V117" s="119">
        <v>0.497</v>
      </c>
      <c r="W117" s="119" t="e">
        <f>#REF!*#REF!</f>
        <v>#REF!</v>
      </c>
      <c r="X117" s="119">
        <v>3.4000000000000002E-4</v>
      </c>
      <c r="Y117" s="119" t="e">
        <f>#REF!*#REF!</f>
        <v>#REF!</v>
      </c>
      <c r="Z117" s="119">
        <v>0</v>
      </c>
      <c r="AA117" s="104" t="e">
        <f>#REF!*#REF!</f>
        <v>#REF!</v>
      </c>
      <c r="BE117" s="80"/>
      <c r="BF117" s="80"/>
      <c r="BG117" s="80"/>
      <c r="BH117" s="80"/>
      <c r="BI117" s="80"/>
      <c r="BK117" s="80"/>
    </row>
    <row r="118" spans="2:63" s="7" customFormat="1" ht="95.25" customHeight="1" x14ac:dyDescent="0.3">
      <c r="B118" s="130"/>
      <c r="C118" s="120">
        <f>C117+1</f>
        <v>4</v>
      </c>
      <c r="D118" s="122"/>
      <c r="E118" s="155"/>
      <c r="F118" s="247" t="s">
        <v>222</v>
      </c>
      <c r="G118" s="248"/>
      <c r="H118" s="248"/>
      <c r="I118" s="249"/>
      <c r="J118" s="158" t="s">
        <v>100</v>
      </c>
      <c r="K118" s="121">
        <v>1</v>
      </c>
      <c r="L118" s="258">
        <v>0</v>
      </c>
      <c r="M118" s="259"/>
      <c r="N118" s="270">
        <f t="shared" ref="N118" si="2">ROUND(L118*K118,2)</f>
        <v>0</v>
      </c>
      <c r="O118" s="271"/>
      <c r="P118" s="271"/>
      <c r="Q118" s="271"/>
      <c r="R118" s="131"/>
      <c r="T118" s="103"/>
      <c r="U118" s="27" t="s">
        <v>27</v>
      </c>
      <c r="V118" s="119">
        <v>0.497</v>
      </c>
      <c r="W118" s="119" t="e">
        <f>#REF!*#REF!</f>
        <v>#REF!</v>
      </c>
      <c r="X118" s="119">
        <v>3.4000000000000002E-4</v>
      </c>
      <c r="Y118" s="119" t="e">
        <f>#REF!*#REF!</f>
        <v>#REF!</v>
      </c>
      <c r="Z118" s="119">
        <v>0</v>
      </c>
      <c r="AA118" s="104" t="e">
        <f>#REF!*#REF!</f>
        <v>#REF!</v>
      </c>
      <c r="BE118" s="80"/>
      <c r="BF118" s="80"/>
      <c r="BG118" s="80"/>
      <c r="BH118" s="80"/>
      <c r="BI118" s="80"/>
      <c r="BK118" s="80"/>
    </row>
    <row r="119" spans="2:63" ht="14.25" customHeight="1" x14ac:dyDescent="0.3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110"/>
    </row>
  </sheetData>
  <sheetProtection algorithmName="SHA-512" hashValue="Kqv/PG1+1Bz7kCof+H9GhaUidBqIWixvNsVMkaoBOF1dwB17XS7AqRwfufHZuMEG1riCvT9ZZVxrV5kRq8EvHw==" saltValue="Vuc8LMd3QT2RV3ZytzeX6Q==" spinCount="100000" sheet="1" objects="1" scenarios="1" selectLockedCells="1"/>
  <mergeCells count="72">
    <mergeCell ref="F7:P7"/>
    <mergeCell ref="E16:L16"/>
    <mergeCell ref="O16:P16"/>
    <mergeCell ref="O18:P18"/>
    <mergeCell ref="O19:P19"/>
    <mergeCell ref="H1:K1"/>
    <mergeCell ref="C2:Q2"/>
    <mergeCell ref="S2:AC2"/>
    <mergeCell ref="C4:Q4"/>
    <mergeCell ref="F6:P6"/>
    <mergeCell ref="M27:P27"/>
    <mergeCell ref="H29:J29"/>
    <mergeCell ref="M29:P29"/>
    <mergeCell ref="H30:J30"/>
    <mergeCell ref="M30:P30"/>
    <mergeCell ref="M81:P81"/>
    <mergeCell ref="N89:Q89"/>
    <mergeCell ref="M83:Q83"/>
    <mergeCell ref="M84:Q84"/>
    <mergeCell ref="N86:Q86"/>
    <mergeCell ref="N88:Q88"/>
    <mergeCell ref="H31:J31"/>
    <mergeCell ref="M31:P31"/>
    <mergeCell ref="H32:J32"/>
    <mergeCell ref="M32:P32"/>
    <mergeCell ref="H33:J33"/>
    <mergeCell ref="M33:P33"/>
    <mergeCell ref="F81:K81"/>
    <mergeCell ref="C86:G86"/>
    <mergeCell ref="O21:P21"/>
    <mergeCell ref="O22:P22"/>
    <mergeCell ref="F8:P8"/>
    <mergeCell ref="F10:L10"/>
    <mergeCell ref="O10:P10"/>
    <mergeCell ref="O12:P12"/>
    <mergeCell ref="O13:P13"/>
    <mergeCell ref="O15:P15"/>
    <mergeCell ref="M25:P25"/>
    <mergeCell ref="L35:P35"/>
    <mergeCell ref="C75:Q75"/>
    <mergeCell ref="F77:P77"/>
    <mergeCell ref="F78:P78"/>
    <mergeCell ref="F79:P79"/>
    <mergeCell ref="N112:Q112"/>
    <mergeCell ref="N111:Q111"/>
    <mergeCell ref="N90:Q90"/>
    <mergeCell ref="N109:Q109"/>
    <mergeCell ref="N110:Q110"/>
    <mergeCell ref="M107:Q107"/>
    <mergeCell ref="F102:P102"/>
    <mergeCell ref="M104:P104"/>
    <mergeCell ref="M106:Q106"/>
    <mergeCell ref="F101:P101"/>
    <mergeCell ref="L92:Q92"/>
    <mergeCell ref="C98:Q98"/>
    <mergeCell ref="F100:P100"/>
    <mergeCell ref="F109:I109"/>
    <mergeCell ref="L109:M109"/>
    <mergeCell ref="N116:Q116"/>
    <mergeCell ref="N115:Q115"/>
    <mergeCell ref="F113:I113"/>
    <mergeCell ref="L113:M113"/>
    <mergeCell ref="F114:I114"/>
    <mergeCell ref="L114:M114"/>
    <mergeCell ref="N113:Q113"/>
    <mergeCell ref="N114:Q114"/>
    <mergeCell ref="F118:I118"/>
    <mergeCell ref="L118:M118"/>
    <mergeCell ref="N118:Q118"/>
    <mergeCell ref="F117:I117"/>
    <mergeCell ref="L117:M117"/>
    <mergeCell ref="N117:Q117"/>
  </mergeCells>
  <hyperlinks>
    <hyperlink ref="F1:G1" location="C2" tooltip="Krycí list rozpočtu" display="1) Krycí list rozpočtu" xr:uid="{00000000-0004-0000-0300-000000000000}"/>
    <hyperlink ref="H1:K1" location="'SO03'!C93" tooltip="Rekapitulace rozpočtu" display="2) Rekapitulace rozpočtu" xr:uid="{00000000-0004-0000-0300-000001000000}"/>
    <hyperlink ref="L1" location="'SO03'!C115" tooltip="Rozpočet" display="3) Rozpočet" xr:uid="{00000000-0004-0000-0300-000002000000}"/>
    <hyperlink ref="S1:T1" location="'Rekapitulace stavby'!C2" tooltip="Rekapitulace stavby" display="Rekapitulace stavby" xr:uid="{00000000-0004-0000-0300-000003000000}"/>
    <hyperlink ref="F1" location="'SO03'!C4" tooltip="Krycí list rozpočtu" display="1) Krycí list rozpočtu" xr:uid="{727FDC2F-9008-4ED2-8FFC-A3677BDB7CA0}"/>
    <hyperlink ref="S1" location="Rekapitulace!C4" tooltip="Rekapitulace stavby" display="Rekapitulace stavby" xr:uid="{702C0B22-D583-4584-85C7-C73FB4E2603B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rowBreaks count="1" manualBreakCount="1">
    <brk id="114" min="1" max="1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68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20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29" ht="24.95" customHeight="1" x14ac:dyDescent="0.3">
      <c r="B7" s="11"/>
      <c r="D7" s="18" t="s">
        <v>75</v>
      </c>
      <c r="F7" s="281" t="str">
        <f>Rekapitulace!J90</f>
        <v>Řídicí systém pro řízení výroby s energetickým managmentem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Rekapitulace!J90</f>
        <v>Řídicí systém pro řízení výroby s energetickým managmentem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5" t="str">
        <f>Rekapitulace!L79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$N$88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(H29)*$F$29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16"/>
      <c r="J30" s="216"/>
      <c r="M30" s="283"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(SUM($BG$91:$BG$91)+SUM($BG$110:$BG$110))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(SUM($BH$91:$BH$91)+SUM($BH$110:$BH$110))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(SUM($BI$91:$BI$91)+SUM($BI$110:$BI$110))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R77" s="22"/>
    </row>
    <row r="78" spans="2:18" ht="24.95" customHeight="1" x14ac:dyDescent="0.3">
      <c r="B78" s="11"/>
      <c r="C78" s="18" t="s">
        <v>75</v>
      </c>
      <c r="F78" s="281" t="str">
        <f>F7</f>
        <v>Řídicí systém pro řízení výroby s energetickým managmentem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R78" s="12"/>
    </row>
    <row r="79" spans="2:18" s="7" customFormat="1" ht="37.5" customHeight="1" x14ac:dyDescent="0.3">
      <c r="B79" s="21"/>
      <c r="C79" s="50" t="s">
        <v>76</v>
      </c>
      <c r="F79" s="233" t="str">
        <f>F8</f>
        <v>Řídicí systém pro řízení výroby s energetickým managmentem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7">
        <f>ROUND($N$110,2)</f>
        <v>0</v>
      </c>
      <c r="O88" s="216"/>
      <c r="P88" s="216"/>
      <c r="Q88" s="216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55">
        <f>N111</f>
        <v>0</v>
      </c>
      <c r="O89" s="256"/>
      <c r="P89" s="256"/>
      <c r="Q89" s="256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55">
        <f>N114</f>
        <v>0</v>
      </c>
      <c r="O90" s="256"/>
      <c r="P90" s="256"/>
      <c r="Q90" s="256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42">
        <f>ROUND(SUM($N$89:$Q$90),2)</f>
        <v>0</v>
      </c>
      <c r="M92" s="243"/>
      <c r="N92" s="243"/>
      <c r="O92" s="243"/>
      <c r="P92" s="243"/>
      <c r="Q92" s="243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11" t="s">
        <v>83</v>
      </c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81" t="str">
        <f>$F$6</f>
        <v>Instalace nové fotovoltaické elektrárny s výkonem 1 765,8 kWp v areálu Cerekvice nad Bystřicí společnosti ČEPRO, a.s.</v>
      </c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R100" s="131"/>
    </row>
    <row r="101" spans="2:63" ht="24.95" customHeight="1" x14ac:dyDescent="0.3">
      <c r="B101" s="132"/>
      <c r="C101" s="18" t="s">
        <v>75</v>
      </c>
      <c r="F101" s="281" t="str">
        <f>F7</f>
        <v>Řídicí systém pro řízení výroby s energetickým managmentem</v>
      </c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R101" s="133"/>
    </row>
    <row r="102" spans="2:63" s="7" customFormat="1" ht="52.5" customHeight="1" x14ac:dyDescent="0.3">
      <c r="B102" s="130"/>
      <c r="C102" s="50" t="s">
        <v>76</v>
      </c>
      <c r="F102" s="233" t="str">
        <f>F8</f>
        <v>Řídicí systém pro řízení výroby s energetickým managmentem</v>
      </c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Cerekvice nad Bystřicí</v>
      </c>
      <c r="L104" s="18" t="s">
        <v>16</v>
      </c>
      <c r="M104" s="234">
        <f ca="1">IF($O$10="","",$O$10)</f>
        <v>45306</v>
      </c>
      <c r="N104" s="216"/>
      <c r="O104" s="216"/>
      <c r="P104" s="216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5" t="str">
        <f>$E$19</f>
        <v>YOUNG4ENERGY s.r.o.</v>
      </c>
      <c r="N106" s="216"/>
      <c r="O106" s="216"/>
      <c r="P106" s="216"/>
      <c r="Q106" s="216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5" t="str">
        <f>$E$22</f>
        <v>YOUNG4ENERGY s.r.o.</v>
      </c>
      <c r="N107" s="216"/>
      <c r="O107" s="216"/>
      <c r="P107" s="216"/>
      <c r="Q107" s="216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0" t="s">
        <v>86</v>
      </c>
      <c r="G109" s="261"/>
      <c r="H109" s="261"/>
      <c r="I109" s="261"/>
      <c r="J109" s="165" t="s">
        <v>87</v>
      </c>
      <c r="K109" s="165" t="s">
        <v>88</v>
      </c>
      <c r="L109" s="260" t="s">
        <v>89</v>
      </c>
      <c r="M109" s="261"/>
      <c r="N109" s="260" t="s">
        <v>90</v>
      </c>
      <c r="O109" s="261"/>
      <c r="P109" s="261"/>
      <c r="Q109" s="280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7">
        <f>N111+N114</f>
        <v>0</v>
      </c>
      <c r="O110" s="216"/>
      <c r="P110" s="216"/>
      <c r="Q110" s="216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143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87">
        <f>N112</f>
        <v>0</v>
      </c>
      <c r="O111" s="287"/>
      <c r="P111" s="287"/>
      <c r="Q111" s="287"/>
      <c r="R111" s="131"/>
    </row>
    <row r="112" spans="2:63" ht="20.100000000000001" customHeight="1" x14ac:dyDescent="0.3">
      <c r="B112" s="130"/>
      <c r="C112" s="107"/>
      <c r="D112" s="112" t="s">
        <v>149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6">
        <f>SUM(N113:Q113)</f>
        <v>0</v>
      </c>
      <c r="O112" s="246"/>
      <c r="P112" s="246"/>
      <c r="Q112" s="246"/>
      <c r="R112" s="131"/>
    </row>
    <row r="113" spans="2:63" s="7" customFormat="1" ht="89.25" customHeight="1" x14ac:dyDescent="0.3">
      <c r="B113" s="130"/>
      <c r="C113" s="120">
        <v>1</v>
      </c>
      <c r="D113" s="122"/>
      <c r="E113" s="173"/>
      <c r="F113" s="305" t="s">
        <v>242</v>
      </c>
      <c r="G113" s="306" t="s">
        <v>163</v>
      </c>
      <c r="H113" s="306" t="s">
        <v>163</v>
      </c>
      <c r="I113" s="307" t="s">
        <v>163</v>
      </c>
      <c r="J113" s="174" t="s">
        <v>100</v>
      </c>
      <c r="K113" s="121">
        <v>1</v>
      </c>
      <c r="L113" s="258">
        <v>0</v>
      </c>
      <c r="M113" s="259"/>
      <c r="N113" s="270">
        <f t="shared" ref="N113" si="0">ROUND(L113*K113,2)</f>
        <v>0</v>
      </c>
      <c r="O113" s="271"/>
      <c r="P113" s="271"/>
      <c r="Q113" s="271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144</v>
      </c>
      <c r="E114" s="101"/>
      <c r="F114" s="199"/>
      <c r="G114" s="199"/>
      <c r="H114" s="199"/>
      <c r="I114" s="199"/>
      <c r="J114" s="101"/>
      <c r="K114" s="101"/>
      <c r="L114" s="101"/>
      <c r="M114" s="101"/>
      <c r="N114" s="287">
        <f>N115</f>
        <v>0</v>
      </c>
      <c r="O114" s="287"/>
      <c r="P114" s="287"/>
      <c r="Q114" s="287"/>
      <c r="R114" s="131"/>
    </row>
    <row r="115" spans="2:63" ht="20.100000000000001" customHeight="1" x14ac:dyDescent="0.3">
      <c r="B115" s="130"/>
      <c r="C115" s="107"/>
      <c r="D115" s="112" t="s">
        <v>145</v>
      </c>
      <c r="E115" s="141"/>
      <c r="F115" s="200"/>
      <c r="G115" s="200"/>
      <c r="H115" s="200"/>
      <c r="I115" s="200"/>
      <c r="J115" s="146"/>
      <c r="K115" s="142"/>
      <c r="L115" s="7"/>
      <c r="M115" s="7"/>
      <c r="N115" s="246">
        <f>SUM(N116)</f>
        <v>0</v>
      </c>
      <c r="O115" s="246"/>
      <c r="P115" s="246"/>
      <c r="Q115" s="246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47" t="s">
        <v>166</v>
      </c>
      <c r="G116" s="248"/>
      <c r="H116" s="248"/>
      <c r="I116" s="249"/>
      <c r="J116" s="158" t="s">
        <v>100</v>
      </c>
      <c r="K116" s="121">
        <v>1</v>
      </c>
      <c r="L116" s="258">
        <v>0</v>
      </c>
      <c r="M116" s="259"/>
      <c r="N116" s="270">
        <f t="shared" ref="N116" si="1">ROUND(L116*K116,2)</f>
        <v>0</v>
      </c>
      <c r="O116" s="271"/>
      <c r="P116" s="271"/>
      <c r="Q116" s="271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95" t="s">
        <v>215</v>
      </c>
      <c r="M117" s="43"/>
      <c r="N117" s="43"/>
      <c r="O117" s="43"/>
      <c r="P117" s="43"/>
      <c r="Q117" s="43"/>
      <c r="R117" s="110"/>
    </row>
  </sheetData>
  <sheetProtection algorithmName="SHA-512" hashValue="li7RQ0IROqABvveppbdiGnX43V6NJ5Oiw5bclkjyXgBWGzMh7wAKs/FiI4q39CdUZguXepXlZ5HMVgKzwCAgNw==" saltValue="qA2PFWUI30YU50FmTffYWg==" spinCount="100000" sheet="1" objects="1" scenarios="1" selectLockedCells="1"/>
  <mergeCells count="66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102:P102"/>
    <mergeCell ref="M104:P104"/>
    <mergeCell ref="M106:Q106"/>
    <mergeCell ref="M107:Q107"/>
    <mergeCell ref="F109:I109"/>
    <mergeCell ref="L109:M109"/>
    <mergeCell ref="N109:Q109"/>
    <mergeCell ref="N110:Q110"/>
    <mergeCell ref="N111:Q111"/>
    <mergeCell ref="N112:Q112"/>
    <mergeCell ref="F113:I113"/>
    <mergeCell ref="L113:M113"/>
    <mergeCell ref="N113:Q113"/>
    <mergeCell ref="N114:Q114"/>
    <mergeCell ref="N115:Q115"/>
    <mergeCell ref="F116:I116"/>
    <mergeCell ref="L116:M116"/>
    <mergeCell ref="N116:Q116"/>
  </mergeCells>
  <hyperlinks>
    <hyperlink ref="F1:G1" location="C2" tooltip="Krycí list rozpočtu" display="1) Krycí list rozpočtu" xr:uid="{0793A952-8796-4F26-B3FA-ADF64D91E246}"/>
    <hyperlink ref="H1:K1" location="'SO04'!C93" tooltip="Rekapitulace rozpočtu" display="2) Rekapitulace rozpočtu" xr:uid="{0388F29A-6DDB-4CB2-897E-DC0E80A7E83B}"/>
    <hyperlink ref="L1" location="'SO04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F1" location="'SO04'!C4" tooltip="Krycí list rozpočtu" display="1) Krycí list rozpočtu" xr:uid="{9505CACA-18DE-40AF-8679-788D4DDD07F5}"/>
    <hyperlink ref="S1" location="Rekapitulace!C4" tooltip="Rekapitulace stavby" display="Rekapitulace stavby" xr:uid="{A2E79D7C-DA7C-4AC8-9DA1-DF7E148FAF1A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rowBreaks count="1" manualBreakCount="1">
    <brk id="113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20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29" ht="24.95" customHeight="1" x14ac:dyDescent="0.3">
      <c r="B7" s="11"/>
      <c r="D7" s="18" t="s">
        <v>75</v>
      </c>
      <c r="F7" s="281" t="str">
        <f>Rekapitulace!J91</f>
        <v>Vyvedení elektrického výkonu FVE – stejnosměrná část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Rekapitulace!J91</f>
        <v>Vyvedení elektrického výkonu FVE – stejnosměrná část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5" t="str">
        <f>Rekapitulace!L79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$N$88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(H29)*$F$29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16"/>
      <c r="J30" s="216"/>
      <c r="M30" s="283"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(SUM($BG$90:$BG$90)+SUM($BG$109:$BG$109))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(SUM($BH$90:$BH$90)+SUM($BH$109:$BH$109))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(SUM($BI$90:$BI$90)+SUM($BI$109:$BI$109))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R77" s="22"/>
    </row>
    <row r="78" spans="2:18" ht="24.95" customHeight="1" x14ac:dyDescent="0.3">
      <c r="B78" s="11"/>
      <c r="C78" s="18" t="s">
        <v>75</v>
      </c>
      <c r="F78" s="281" t="str">
        <f>F7</f>
        <v>Vyvedení elektrického výkonu FVE – stejnosměrná část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R78" s="12"/>
    </row>
    <row r="79" spans="2:18" s="7" customFormat="1" ht="37.5" customHeight="1" x14ac:dyDescent="0.3">
      <c r="B79" s="21"/>
      <c r="C79" s="50" t="s">
        <v>76</v>
      </c>
      <c r="F79" s="233" t="str">
        <f>F8</f>
        <v>Vyvedení elektrického výkonu FVE – stejnosměrná část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7">
        <f>ROUND($N$109,2)</f>
        <v>0</v>
      </c>
      <c r="O88" s="216"/>
      <c r="P88" s="216"/>
      <c r="Q88" s="216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5">
        <f>N110</f>
        <v>0</v>
      </c>
      <c r="O89" s="256"/>
      <c r="P89" s="256"/>
      <c r="Q89" s="256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2">
        <f>ROUND(SUM($N$89:$Q$89),2)</f>
        <v>0</v>
      </c>
      <c r="M91" s="243"/>
      <c r="N91" s="243"/>
      <c r="O91" s="243"/>
      <c r="P91" s="243"/>
      <c r="Q91" s="243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1" t="s">
        <v>83</v>
      </c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81" t="str">
        <f>$F$6</f>
        <v>Instalace nové fotovoltaické elektrárny s výkonem 1 765,8 kWp v areálu Cerekvice nad Bystřicí společnosti ČEPRO, a.s.</v>
      </c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R99" s="131"/>
    </row>
    <row r="100" spans="2:63" ht="24.95" customHeight="1" x14ac:dyDescent="0.3">
      <c r="B100" s="132"/>
      <c r="C100" s="18" t="s">
        <v>75</v>
      </c>
      <c r="F100" s="281" t="str">
        <f>F7</f>
        <v>Vyvedení elektrického výkonu FVE – stejnosměrná část</v>
      </c>
      <c r="G100" s="210"/>
      <c r="H100" s="210"/>
      <c r="I100" s="210"/>
      <c r="J100" s="210"/>
      <c r="K100" s="210"/>
      <c r="L100" s="210"/>
      <c r="M100" s="210"/>
      <c r="N100" s="210"/>
      <c r="O100" s="210"/>
      <c r="P100" s="210"/>
      <c r="R100" s="133"/>
    </row>
    <row r="101" spans="2:63" s="7" customFormat="1" ht="52.5" customHeight="1" x14ac:dyDescent="0.3">
      <c r="B101" s="130"/>
      <c r="C101" s="50" t="s">
        <v>76</v>
      </c>
      <c r="F101" s="233" t="str">
        <f>F8</f>
        <v>Vyvedení elektrického výkonu FVE – stejnosměrná část</v>
      </c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Cerekvice nad Bystřicí</v>
      </c>
      <c r="L103" s="18" t="s">
        <v>16</v>
      </c>
      <c r="M103" s="234">
        <f ca="1">IF($O$10="","",$O$10)</f>
        <v>45306</v>
      </c>
      <c r="N103" s="216"/>
      <c r="O103" s="216"/>
      <c r="P103" s="216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5" t="str">
        <f>$E$19</f>
        <v>YOUNG4ENERGY s.r.o.</v>
      </c>
      <c r="N105" s="216"/>
      <c r="O105" s="216"/>
      <c r="P105" s="216"/>
      <c r="Q105" s="216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5" t="str">
        <f>$E$22</f>
        <v>YOUNG4ENERGY s.r.o.</v>
      </c>
      <c r="N106" s="216"/>
      <c r="O106" s="216"/>
      <c r="P106" s="216"/>
      <c r="Q106" s="216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0" t="s">
        <v>86</v>
      </c>
      <c r="G108" s="261"/>
      <c r="H108" s="261"/>
      <c r="I108" s="261"/>
      <c r="J108" s="165" t="s">
        <v>87</v>
      </c>
      <c r="K108" s="165" t="s">
        <v>88</v>
      </c>
      <c r="L108" s="260" t="s">
        <v>89</v>
      </c>
      <c r="M108" s="261"/>
      <c r="N108" s="260" t="s">
        <v>90</v>
      </c>
      <c r="O108" s="261"/>
      <c r="P108" s="261"/>
      <c r="Q108" s="28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37">
        <f>N110</f>
        <v>0</v>
      </c>
      <c r="O109" s="216"/>
      <c r="P109" s="216"/>
      <c r="Q109" s="216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198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7">
        <f>N111+N116+N118</f>
        <v>0</v>
      </c>
      <c r="O110" s="287"/>
      <c r="P110" s="287"/>
      <c r="Q110" s="287"/>
      <c r="R110" s="131"/>
    </row>
    <row r="111" spans="2:63" ht="19.5" customHeight="1" x14ac:dyDescent="0.3">
      <c r="B111" s="130"/>
      <c r="C111" s="107"/>
      <c r="D111" s="112" t="s">
        <v>199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6">
        <f>SUM(N112:Q115)</f>
        <v>0</v>
      </c>
      <c r="O111" s="246"/>
      <c r="P111" s="246"/>
      <c r="Q111" s="246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73"/>
      <c r="F112" s="310" t="s">
        <v>225</v>
      </c>
      <c r="G112" s="311"/>
      <c r="H112" s="311"/>
      <c r="I112" s="311"/>
      <c r="J112" s="174" t="s">
        <v>100</v>
      </c>
      <c r="K112" s="121">
        <v>1</v>
      </c>
      <c r="L112" s="258">
        <v>0</v>
      </c>
      <c r="M112" s="259"/>
      <c r="N112" s="270">
        <f t="shared" ref="N112:N115" si="0">ROUND(L112*K112,2)</f>
        <v>0</v>
      </c>
      <c r="O112" s="271"/>
      <c r="P112" s="271"/>
      <c r="Q112" s="271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3"/>
      <c r="F113" s="310" t="s">
        <v>232</v>
      </c>
      <c r="G113" s="311"/>
      <c r="H113" s="311"/>
      <c r="I113" s="311"/>
      <c r="J113" s="174" t="s">
        <v>100</v>
      </c>
      <c r="K113" s="121">
        <v>1</v>
      </c>
      <c r="L113" s="258">
        <v>0</v>
      </c>
      <c r="M113" s="259"/>
      <c r="N113" s="270">
        <f t="shared" si="0"/>
        <v>0</v>
      </c>
      <c r="O113" s="271"/>
      <c r="P113" s="271"/>
      <c r="Q113" s="271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73"/>
      <c r="F114" s="310" t="s">
        <v>233</v>
      </c>
      <c r="G114" s="311"/>
      <c r="H114" s="311"/>
      <c r="I114" s="311"/>
      <c r="J114" s="174" t="s">
        <v>100</v>
      </c>
      <c r="K114" s="121">
        <v>1</v>
      </c>
      <c r="L114" s="258">
        <v>0</v>
      </c>
      <c r="M114" s="259"/>
      <c r="N114" s="270">
        <f t="shared" si="0"/>
        <v>0</v>
      </c>
      <c r="O114" s="271"/>
      <c r="P114" s="271"/>
      <c r="Q114" s="271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73"/>
      <c r="F115" s="310" t="s">
        <v>206</v>
      </c>
      <c r="G115" s="311"/>
      <c r="H115" s="311"/>
      <c r="I115" s="311"/>
      <c r="J115" s="174" t="s">
        <v>100</v>
      </c>
      <c r="K115" s="121">
        <v>1</v>
      </c>
      <c r="L115" s="258">
        <v>0</v>
      </c>
      <c r="M115" s="259"/>
      <c r="N115" s="270">
        <f t="shared" si="0"/>
        <v>0</v>
      </c>
      <c r="O115" s="271"/>
      <c r="P115" s="271"/>
      <c r="Q115" s="271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8" customHeight="1" x14ac:dyDescent="0.3">
      <c r="B116" s="130"/>
      <c r="C116" s="113"/>
      <c r="D116" s="112" t="s">
        <v>214</v>
      </c>
      <c r="E116" s="112"/>
      <c r="F116" s="198"/>
      <c r="G116" s="198"/>
      <c r="H116" s="198"/>
      <c r="I116" s="198"/>
      <c r="J116" s="112"/>
      <c r="K116" s="112"/>
      <c r="L116" s="112"/>
      <c r="M116" s="112"/>
      <c r="N116" s="257">
        <f>SUM(N117)</f>
        <v>0</v>
      </c>
      <c r="O116" s="257"/>
      <c r="P116" s="257"/>
      <c r="Q116" s="257"/>
      <c r="R116" s="131"/>
      <c r="T116" s="108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1:63" s="7" customFormat="1" ht="45" customHeight="1" x14ac:dyDescent="0.3">
      <c r="B117" s="130"/>
      <c r="C117" s="120">
        <f>C115+1</f>
        <v>5</v>
      </c>
      <c r="D117" s="143"/>
      <c r="E117" s="178"/>
      <c r="F117" s="262" t="s">
        <v>204</v>
      </c>
      <c r="G117" s="263"/>
      <c r="H117" s="263"/>
      <c r="I117" s="264"/>
      <c r="J117" s="174" t="s">
        <v>100</v>
      </c>
      <c r="K117" s="179">
        <v>1</v>
      </c>
      <c r="L117" s="308">
        <v>0</v>
      </c>
      <c r="M117" s="309"/>
      <c r="N117" s="252">
        <f t="shared" ref="N117" si="2">ROUND(L117*K117,2)</f>
        <v>0</v>
      </c>
      <c r="O117" s="253"/>
      <c r="P117" s="253"/>
      <c r="Q117" s="254"/>
      <c r="R117" s="131"/>
      <c r="T117" s="108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1:63" ht="18.75" customHeight="1" x14ac:dyDescent="0.3">
      <c r="A118" s="7"/>
      <c r="B118" s="130"/>
      <c r="C118" s="113"/>
      <c r="D118" s="112" t="s">
        <v>213</v>
      </c>
      <c r="E118" s="112"/>
      <c r="F118" s="198"/>
      <c r="G118" s="198"/>
      <c r="H118" s="198"/>
      <c r="I118" s="198"/>
      <c r="J118" s="112"/>
      <c r="K118" s="112"/>
      <c r="L118" s="112"/>
      <c r="M118" s="112"/>
      <c r="N118" s="265">
        <f>SUM(N119:Q120)</f>
        <v>0</v>
      </c>
      <c r="O118" s="265"/>
      <c r="P118" s="265"/>
      <c r="Q118" s="265"/>
      <c r="R118" s="133"/>
    </row>
    <row r="119" spans="1:63" ht="84.75" customHeight="1" x14ac:dyDescent="0.3">
      <c r="A119" s="7"/>
      <c r="B119" s="130"/>
      <c r="C119" s="120">
        <f>C117+1</f>
        <v>6</v>
      </c>
      <c r="D119" s="143"/>
      <c r="E119" s="180"/>
      <c r="F119" s="247" t="s">
        <v>167</v>
      </c>
      <c r="G119" s="248"/>
      <c r="H119" s="248"/>
      <c r="I119" s="249"/>
      <c r="J119" s="181" t="s">
        <v>100</v>
      </c>
      <c r="K119" s="179">
        <v>1</v>
      </c>
      <c r="L119" s="308">
        <v>0</v>
      </c>
      <c r="M119" s="309"/>
      <c r="N119" s="252">
        <f>ROUND(K119*L119,2)</f>
        <v>0</v>
      </c>
      <c r="O119" s="253"/>
      <c r="P119" s="253"/>
      <c r="Q119" s="254"/>
      <c r="R119" s="133"/>
    </row>
    <row r="120" spans="1:63" ht="57" customHeight="1" x14ac:dyDescent="0.3">
      <c r="B120" s="130"/>
      <c r="C120" s="143">
        <f>C119+1</f>
        <v>7</v>
      </c>
      <c r="D120" s="143"/>
      <c r="E120" s="178"/>
      <c r="F120" s="247" t="s">
        <v>150</v>
      </c>
      <c r="G120" s="248"/>
      <c r="H120" s="248"/>
      <c r="I120" s="249"/>
      <c r="J120" s="174" t="s">
        <v>100</v>
      </c>
      <c r="K120" s="179">
        <v>1</v>
      </c>
      <c r="L120" s="308">
        <v>0</v>
      </c>
      <c r="M120" s="308"/>
      <c r="N120" s="252">
        <f t="shared" ref="N120" si="3">ROUND(K120*L120,2)</f>
        <v>0</v>
      </c>
      <c r="O120" s="253"/>
      <c r="P120" s="253"/>
      <c r="Q120" s="254"/>
      <c r="R120" s="133"/>
    </row>
    <row r="121" spans="1:63" ht="14.25" customHeight="1" x14ac:dyDescent="0.3">
      <c r="B121" s="182"/>
      <c r="C121" s="183"/>
      <c r="D121" s="183"/>
      <c r="E121" s="183"/>
      <c r="F121" s="183"/>
      <c r="G121" s="183"/>
      <c r="H121" s="183"/>
      <c r="I121" s="183"/>
      <c r="J121" s="183"/>
      <c r="K121" s="183"/>
      <c r="L121" s="183"/>
      <c r="M121" s="183"/>
      <c r="N121" s="185"/>
      <c r="O121" s="185"/>
      <c r="P121" s="185"/>
      <c r="Q121" s="185"/>
      <c r="R121" s="110"/>
    </row>
  </sheetData>
  <sheetProtection algorithmName="SHA-512" hashValue="abse8PdkLg9aKRo1gM/Hp73o9PWXdqxc2Oxgy/H4Jn1BHA1Vj5G7o8Nsr8Tvgb8MzjyMuU1uxBDigS9WlbYDBQ==" saltValue="L8GjIAGa43onGmnURNtNsw==" spinCount="100000" sheet="1" objects="1" scenarios="1" selectLockedCells="1"/>
  <mergeCells count="80"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H1:K1"/>
    <mergeCell ref="C2:Q2"/>
    <mergeCell ref="S2:AC2"/>
    <mergeCell ref="C4:Q4"/>
    <mergeCell ref="F6:P6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N111:Q111"/>
    <mergeCell ref="F112:I112"/>
    <mergeCell ref="L112:M112"/>
    <mergeCell ref="N112:Q112"/>
    <mergeCell ref="F113:I113"/>
    <mergeCell ref="L113:M113"/>
    <mergeCell ref="N113:Q113"/>
    <mergeCell ref="F119:I119"/>
    <mergeCell ref="L119:M119"/>
    <mergeCell ref="N119:Q119"/>
    <mergeCell ref="F115:I115"/>
    <mergeCell ref="L115:M115"/>
    <mergeCell ref="N115:Q115"/>
    <mergeCell ref="F117:I117"/>
    <mergeCell ref="L117:M117"/>
  </mergeCells>
  <hyperlinks>
    <hyperlink ref="F1:G1" location="C2" tooltip="Krycí list rozpočtu" display="1) Krycí list rozpočtu" xr:uid="{2407B6B0-9091-47E0-BE02-4920423A88E7}"/>
    <hyperlink ref="H1:K1" location="'SO03'!C93" tooltip="Rekapitulace rozpočtu" display="2) Rekapitulace rozpočtu" xr:uid="{21718261-CD14-4C09-BE61-CDF38FC00592}"/>
    <hyperlink ref="L1" location="'SO03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SO03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187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S2" s="220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81"/>
      <c r="H6" s="281"/>
      <c r="I6" s="281"/>
      <c r="J6" s="281"/>
      <c r="K6" s="281"/>
      <c r="L6" s="281"/>
      <c r="M6" s="281"/>
      <c r="N6" s="281"/>
      <c r="O6" s="281"/>
      <c r="P6" s="281"/>
      <c r="R6" s="12"/>
    </row>
    <row r="7" spans="2:29" ht="24.95" customHeight="1" x14ac:dyDescent="0.3">
      <c r="B7" s="11"/>
      <c r="D7" s="18" t="s">
        <v>75</v>
      </c>
      <c r="F7" s="281" t="str">
        <f>Rekapitulace!J92</f>
        <v>Vyvedení elektrického výkonu FVE – střídavá část</v>
      </c>
      <c r="G7" s="281"/>
      <c r="H7" s="281"/>
      <c r="I7" s="281"/>
      <c r="J7" s="281"/>
      <c r="K7" s="281"/>
      <c r="L7" s="281"/>
      <c r="M7" s="281"/>
      <c r="N7" s="281"/>
      <c r="O7" s="281"/>
      <c r="P7" s="281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Rekapitulace!J92</f>
        <v>Vyvedení elektrického výkonu FVE – střídavá část</v>
      </c>
      <c r="G8" s="228"/>
      <c r="H8" s="228"/>
      <c r="I8" s="228"/>
      <c r="J8" s="228"/>
      <c r="K8" s="228"/>
      <c r="L8" s="228"/>
      <c r="M8" s="184"/>
      <c r="N8" s="184"/>
      <c r="O8" s="184"/>
      <c r="P8" s="184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8" t="str">
        <f>Rekapitulace!L79</f>
        <v>Cerekvice nad Bystřicí</v>
      </c>
      <c r="G10" s="188"/>
      <c r="H10" s="188"/>
      <c r="I10" s="188"/>
      <c r="J10" s="188"/>
      <c r="K10" s="188"/>
      <c r="L10" s="188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5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89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89"/>
      <c r="G16" s="289"/>
      <c r="H16" s="289"/>
      <c r="I16" s="289"/>
      <c r="J16" s="289"/>
      <c r="K16" s="289"/>
      <c r="L16" s="289"/>
      <c r="M16" s="18" t="s">
        <v>19</v>
      </c>
      <c r="O16" s="289" t="str">
        <f>IF(Rekapitulace!$AN$14="","",Rekapitulace!$AN$14)</f>
        <v>Vyplň údaj</v>
      </c>
      <c r="P16" s="28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8" t="str">
        <f>IF(Rekapitulace!$AN$16="","",Rekapitulace!$AN$16)</f>
        <v>04083351</v>
      </c>
      <c r="P18" s="184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8" t="str">
        <f>IF(Rekapitulace!$AN$17="","",Rekapitulace!$AN$17)</f>
        <v>CZ04083351</v>
      </c>
      <c r="P19" s="184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8" t="str">
        <f>IF(Rekapitulace!$AN$19="","",Rekapitulace!$AN$19)</f>
        <v>04083351</v>
      </c>
      <c r="P21" s="184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8" t="str">
        <f>IF(Rekapitulace!$AN$20="","",Rekapitulace!$AN$20)</f>
        <v>CZ04083351</v>
      </c>
      <c r="P22" s="184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$M$88</f>
        <v>0</v>
      </c>
      <c r="N25" s="214"/>
      <c r="O25" s="214"/>
      <c r="P25" s="214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316">
        <f>ROUND($M$25,2)</f>
        <v>0</v>
      </c>
      <c r="N27" s="316"/>
      <c r="O27" s="316"/>
      <c r="P27" s="3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83"/>
      <c r="J29" s="283"/>
      <c r="M29" s="283">
        <f>(H29)*$F$29</f>
        <v>0</v>
      </c>
      <c r="N29" s="283"/>
      <c r="O29" s="283"/>
      <c r="P29" s="283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83"/>
      <c r="J30" s="283"/>
      <c r="M30" s="283">
        <v>0</v>
      </c>
      <c r="N30" s="283"/>
      <c r="O30" s="283"/>
      <c r="P30" s="283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9">
        <f>(SUM($BG$90:$BG$90)+SUM($BG$109:$BG$109))</f>
        <v>0</v>
      </c>
      <c r="I31" s="184"/>
      <c r="J31" s="184"/>
      <c r="M31" s="189">
        <v>0</v>
      </c>
      <c r="N31" s="184"/>
      <c r="O31" s="184"/>
      <c r="P31" s="184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9">
        <f>(SUM($BH$90:$BH$90)+SUM($BH$109:$BH$109))</f>
        <v>0</v>
      </c>
      <c r="I32" s="184"/>
      <c r="J32" s="184"/>
      <c r="M32" s="189">
        <v>0</v>
      </c>
      <c r="N32" s="184"/>
      <c r="O32" s="184"/>
      <c r="P32" s="184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9">
        <f>(SUM($BI$90:$BI$90)+SUM($BI$109:$BI$109))</f>
        <v>0</v>
      </c>
      <c r="I33" s="184"/>
      <c r="J33" s="184"/>
      <c r="M33" s="189">
        <v>0</v>
      </c>
      <c r="N33" s="184"/>
      <c r="O33" s="184"/>
      <c r="P33" s="184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85"/>
      <c r="N35" s="285"/>
      <c r="O35" s="285"/>
      <c r="P35" s="285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184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81"/>
      <c r="H77" s="281"/>
      <c r="I77" s="281"/>
      <c r="J77" s="281"/>
      <c r="K77" s="281"/>
      <c r="L77" s="281"/>
      <c r="M77" s="281"/>
      <c r="N77" s="281"/>
      <c r="O77" s="281"/>
      <c r="P77" s="281"/>
      <c r="R77" s="22"/>
    </row>
    <row r="78" spans="2:18" ht="24.95" customHeight="1" x14ac:dyDescent="0.3">
      <c r="B78" s="11"/>
      <c r="C78" s="18" t="s">
        <v>75</v>
      </c>
      <c r="F78" s="281" t="str">
        <f>F7</f>
        <v>Vyvedení elektrického výkonu FVE – střídavá část</v>
      </c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R78" s="12"/>
    </row>
    <row r="79" spans="2:18" s="7" customFormat="1" ht="45" customHeight="1" x14ac:dyDescent="0.3">
      <c r="B79" s="21"/>
      <c r="C79" s="50" t="s">
        <v>76</v>
      </c>
      <c r="F79" s="233" t="str">
        <f>F8</f>
        <v>Vyvedení elektrického výkonu FVE – střídavá část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34"/>
      <c r="O81" s="234"/>
      <c r="P81" s="234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5" t="str">
        <f>$E$13</f>
        <v>ČEPRO, a.s.</v>
      </c>
      <c r="G83" s="215"/>
      <c r="H83" s="215"/>
      <c r="I83" s="215"/>
      <c r="J83" s="215"/>
      <c r="K83" s="215"/>
      <c r="L83" s="18" t="s">
        <v>22</v>
      </c>
      <c r="M83" s="215" t="str">
        <f>$E$19</f>
        <v>YOUNG4ENERGY s.r.o.</v>
      </c>
      <c r="N83" s="215"/>
      <c r="O83" s="215"/>
      <c r="P83" s="215"/>
      <c r="Q83" s="184"/>
      <c r="R83" s="22"/>
    </row>
    <row r="84" spans="2:18" s="7" customFormat="1" ht="15" customHeight="1" x14ac:dyDescent="0.3">
      <c r="B84" s="21"/>
      <c r="C84" s="18" t="s">
        <v>20</v>
      </c>
      <c r="F84" s="215" t="str">
        <f>IF($E$16="","",$E$16)</f>
        <v>Vyplň údaj</v>
      </c>
      <c r="G84" s="215"/>
      <c r="H84" s="215"/>
      <c r="I84" s="215"/>
      <c r="J84" s="215"/>
      <c r="K84" s="215"/>
      <c r="L84" s="18" t="s">
        <v>23</v>
      </c>
      <c r="M84" s="215" t="str">
        <f>$E$22</f>
        <v>YOUNG4ENERGY s.r.o.</v>
      </c>
      <c r="N84" s="215"/>
      <c r="O84" s="215"/>
      <c r="P84" s="215"/>
      <c r="Q84" s="184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91" t="s">
        <v>79</v>
      </c>
      <c r="D86" s="190"/>
      <c r="E86" s="190"/>
      <c r="F86" s="190"/>
      <c r="G86" s="190"/>
      <c r="H86" s="29"/>
      <c r="I86" s="29"/>
      <c r="J86" s="29"/>
      <c r="K86" s="29"/>
      <c r="L86" s="29"/>
      <c r="M86" s="312" t="s">
        <v>80</v>
      </c>
      <c r="N86" s="312"/>
      <c r="O86" s="312"/>
      <c r="P86" s="312"/>
      <c r="Q86" s="312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37">
        <f>ROUND($M$109,2)</f>
        <v>0</v>
      </c>
      <c r="N88" s="237"/>
      <c r="O88" s="237"/>
      <c r="P88" s="237"/>
      <c r="Q88" s="237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55">
        <f>N110</f>
        <v>0</v>
      </c>
      <c r="N89" s="255"/>
      <c r="O89" s="255"/>
      <c r="P89" s="255"/>
      <c r="Q89" s="255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2">
        <f>ROUND(SUM(M89),2)</f>
        <v>0</v>
      </c>
      <c r="M91" s="242"/>
      <c r="N91" s="242"/>
      <c r="O91" s="242"/>
      <c r="P91" s="242"/>
      <c r="Q91" s="242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1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184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81" t="str">
        <f>$F$6</f>
        <v>Instalace nové fotovoltaické elektrárny s výkonem 1 765,8 kWp v areálu Cerekvice nad Bystřicí společnosti ČEPRO, a.s.</v>
      </c>
      <c r="G99" s="281"/>
      <c r="H99" s="281"/>
      <c r="I99" s="281"/>
      <c r="J99" s="281"/>
      <c r="K99" s="281"/>
      <c r="L99" s="281"/>
      <c r="M99" s="281"/>
      <c r="N99" s="281"/>
      <c r="O99" s="281"/>
      <c r="P99" s="281"/>
      <c r="R99" s="131"/>
    </row>
    <row r="100" spans="2:63" ht="24.95" customHeight="1" x14ac:dyDescent="0.3">
      <c r="B100" s="132"/>
      <c r="C100" s="18" t="s">
        <v>75</v>
      </c>
      <c r="F100" s="281" t="str">
        <f>F7</f>
        <v>Vyvedení elektrického výkonu FVE – střídavá část</v>
      </c>
      <c r="G100" s="281"/>
      <c r="H100" s="281"/>
      <c r="I100" s="281"/>
      <c r="J100" s="281"/>
      <c r="K100" s="281"/>
      <c r="L100" s="281"/>
      <c r="M100" s="281"/>
      <c r="N100" s="281"/>
      <c r="O100" s="281"/>
      <c r="P100" s="281"/>
      <c r="R100" s="133"/>
    </row>
    <row r="101" spans="2:63" s="7" customFormat="1" ht="52.5" customHeight="1" x14ac:dyDescent="0.3">
      <c r="B101" s="130"/>
      <c r="C101" s="50" t="s">
        <v>76</v>
      </c>
      <c r="F101" s="233" t="str">
        <f>F8</f>
        <v>Vyvedení elektrického výkonu FVE – střídavá část</v>
      </c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5" t="str">
        <f>$F$10</f>
        <v>Cerekvice nad Bystřicí</v>
      </c>
      <c r="G103" s="215"/>
      <c r="H103" s="215"/>
      <c r="I103" s="215"/>
      <c r="J103" s="215"/>
      <c r="K103" s="215"/>
      <c r="L103" s="18" t="s">
        <v>16</v>
      </c>
      <c r="M103" s="234">
        <f ca="1">IF($O$10="","",$O$10)</f>
        <v>45306</v>
      </c>
      <c r="N103" s="234"/>
      <c r="O103" s="234"/>
      <c r="P103" s="234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5" t="str">
        <f>$E$13</f>
        <v>ČEPRO, a.s.</v>
      </c>
      <c r="G105" s="215"/>
      <c r="H105" s="215"/>
      <c r="I105" s="215"/>
      <c r="J105" s="215"/>
      <c r="K105" s="215"/>
      <c r="L105" s="18" t="s">
        <v>22</v>
      </c>
      <c r="M105" s="188" t="str">
        <f>$E$19</f>
        <v>YOUNG4ENERGY s.r.o.</v>
      </c>
      <c r="N105" s="184"/>
      <c r="O105" s="184"/>
      <c r="P105" s="184"/>
      <c r="Q105" s="184"/>
      <c r="R105" s="131"/>
    </row>
    <row r="106" spans="2:63" s="7" customFormat="1" ht="15" customHeight="1" x14ac:dyDescent="0.3">
      <c r="B106" s="130"/>
      <c r="C106" s="18" t="s">
        <v>20</v>
      </c>
      <c r="F106" s="215" t="str">
        <f>IF($E$16="","",$E$16)</f>
        <v>Vyplň údaj</v>
      </c>
      <c r="G106" s="215"/>
      <c r="H106" s="215"/>
      <c r="I106" s="215"/>
      <c r="J106" s="215"/>
      <c r="K106" s="215"/>
      <c r="L106" s="18" t="s">
        <v>23</v>
      </c>
      <c r="M106" s="188" t="str">
        <f>$E$22</f>
        <v>YOUNG4ENERGY s.r.o.</v>
      </c>
      <c r="N106" s="184"/>
      <c r="O106" s="184"/>
      <c r="P106" s="184"/>
      <c r="Q106" s="184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92" t="s">
        <v>86</v>
      </c>
      <c r="G108" s="193"/>
      <c r="H108" s="193"/>
      <c r="I108" s="193"/>
      <c r="J108" s="165" t="s">
        <v>87</v>
      </c>
      <c r="K108" s="165" t="s">
        <v>88</v>
      </c>
      <c r="L108" s="192" t="s">
        <v>89</v>
      </c>
      <c r="M108" s="317" t="s">
        <v>90</v>
      </c>
      <c r="N108" s="317"/>
      <c r="O108" s="317"/>
      <c r="P108" s="317"/>
      <c r="Q108" s="194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37">
        <f>N110</f>
        <v>0</v>
      </c>
      <c r="N109" s="237"/>
      <c r="O109" s="237"/>
      <c r="P109" s="237"/>
      <c r="Q109" s="237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198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7">
        <f>N111+N116+N118+N120</f>
        <v>0</v>
      </c>
      <c r="O110" s="287"/>
      <c r="P110" s="287"/>
      <c r="Q110" s="287"/>
      <c r="R110" s="131"/>
    </row>
    <row r="111" spans="2:63" ht="19.5" customHeight="1" x14ac:dyDescent="0.3">
      <c r="B111" s="130"/>
      <c r="C111" s="107"/>
      <c r="D111" s="112" t="s">
        <v>199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6">
        <f>SUM(N112:Q115)</f>
        <v>0</v>
      </c>
      <c r="O111" s="246"/>
      <c r="P111" s="246"/>
      <c r="Q111" s="246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73"/>
      <c r="F112" s="310" t="s">
        <v>225</v>
      </c>
      <c r="G112" s="311"/>
      <c r="H112" s="311"/>
      <c r="I112" s="311"/>
      <c r="J112" s="174" t="s">
        <v>100</v>
      </c>
      <c r="K112" s="121">
        <v>1</v>
      </c>
      <c r="L112" s="258">
        <v>0</v>
      </c>
      <c r="M112" s="259"/>
      <c r="N112" s="270">
        <f>ROUND(L112*K112,2)</f>
        <v>0</v>
      </c>
      <c r="O112" s="271"/>
      <c r="P112" s="271"/>
      <c r="Q112" s="271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3"/>
      <c r="F113" s="310" t="s">
        <v>205</v>
      </c>
      <c r="G113" s="311"/>
      <c r="H113" s="311"/>
      <c r="I113" s="311"/>
      <c r="J113" s="174" t="s">
        <v>100</v>
      </c>
      <c r="K113" s="121">
        <v>1</v>
      </c>
      <c r="L113" s="258">
        <v>0</v>
      </c>
      <c r="M113" s="259"/>
      <c r="N113" s="270">
        <f>ROUND(L113*K113,2)</f>
        <v>0</v>
      </c>
      <c r="O113" s="271"/>
      <c r="P113" s="271"/>
      <c r="Q113" s="271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73"/>
      <c r="F114" s="310" t="s">
        <v>233</v>
      </c>
      <c r="G114" s="311"/>
      <c r="H114" s="311"/>
      <c r="I114" s="311"/>
      <c r="J114" s="174" t="s">
        <v>100</v>
      </c>
      <c r="K114" s="121">
        <v>1</v>
      </c>
      <c r="L114" s="258">
        <v>0</v>
      </c>
      <c r="M114" s="259"/>
      <c r="N114" s="270">
        <f>ROUND(L114*K114,2)</f>
        <v>0</v>
      </c>
      <c r="O114" s="271"/>
      <c r="P114" s="271"/>
      <c r="Q114" s="271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73"/>
      <c r="F115" s="310" t="s">
        <v>206</v>
      </c>
      <c r="G115" s="311"/>
      <c r="H115" s="311"/>
      <c r="I115" s="311"/>
      <c r="J115" s="174" t="s">
        <v>100</v>
      </c>
      <c r="K115" s="121">
        <v>1</v>
      </c>
      <c r="L115" s="258">
        <v>0</v>
      </c>
      <c r="M115" s="259"/>
      <c r="N115" s="270">
        <f>ROUND(L115*K115,2)</f>
        <v>0</v>
      </c>
      <c r="O115" s="271"/>
      <c r="P115" s="271"/>
      <c r="Q115" s="271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234</v>
      </c>
      <c r="E116" s="112"/>
      <c r="F116" s="177"/>
      <c r="G116" s="177"/>
      <c r="H116" s="177"/>
      <c r="I116" s="177"/>
      <c r="J116" s="112"/>
      <c r="K116" s="112"/>
      <c r="L116" s="112"/>
      <c r="M116" s="112"/>
      <c r="N116" s="257">
        <f>SUM(N117)</f>
        <v>0</v>
      </c>
      <c r="O116" s="257"/>
      <c r="P116" s="257"/>
      <c r="Q116" s="257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73"/>
      <c r="F117" s="313" t="s">
        <v>207</v>
      </c>
      <c r="G117" s="314" t="s">
        <v>200</v>
      </c>
      <c r="H117" s="314" t="s">
        <v>200</v>
      </c>
      <c r="I117" s="314" t="s">
        <v>200</v>
      </c>
      <c r="J117" s="174" t="s">
        <v>100</v>
      </c>
      <c r="K117" s="121">
        <v>1</v>
      </c>
      <c r="L117" s="258">
        <v>0</v>
      </c>
      <c r="M117" s="259"/>
      <c r="N117" s="270">
        <f>ROUND(L117*K117,2)</f>
        <v>0</v>
      </c>
      <c r="O117" s="315"/>
      <c r="P117" s="315"/>
      <c r="Q117" s="315"/>
      <c r="R117" s="131"/>
    </row>
    <row r="118" spans="1:63" s="7" customFormat="1" ht="18" customHeight="1" x14ac:dyDescent="0.3">
      <c r="B118" s="130"/>
      <c r="C118" s="113"/>
      <c r="D118" s="112" t="s">
        <v>201</v>
      </c>
      <c r="E118" s="112"/>
      <c r="F118" s="177"/>
      <c r="G118" s="177"/>
      <c r="H118" s="177"/>
      <c r="I118" s="177"/>
      <c r="J118" s="112"/>
      <c r="K118" s="112"/>
      <c r="L118" s="112"/>
      <c r="M118" s="112"/>
      <c r="N118" s="257">
        <f>SUM(N119)</f>
        <v>0</v>
      </c>
      <c r="O118" s="257"/>
      <c r="P118" s="257"/>
      <c r="Q118" s="257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8"/>
      <c r="F119" s="262" t="s">
        <v>208</v>
      </c>
      <c r="G119" s="263"/>
      <c r="H119" s="263"/>
      <c r="I119" s="264"/>
      <c r="J119" s="174" t="s">
        <v>100</v>
      </c>
      <c r="K119" s="179">
        <v>1</v>
      </c>
      <c r="L119" s="308">
        <v>0</v>
      </c>
      <c r="M119" s="309"/>
      <c r="N119" s="252">
        <f>ROUND(L119*K119,2)</f>
        <v>0</v>
      </c>
      <c r="O119" s="253"/>
      <c r="P119" s="253"/>
      <c r="Q119" s="254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212</v>
      </c>
      <c r="E120" s="112"/>
      <c r="F120" s="177"/>
      <c r="G120" s="177"/>
      <c r="H120" s="177"/>
      <c r="I120" s="177"/>
      <c r="J120" s="112"/>
      <c r="K120" s="112"/>
      <c r="L120" s="112"/>
      <c r="M120" s="112"/>
      <c r="N120" s="265">
        <f>SUM(N121:Q122)</f>
        <v>0</v>
      </c>
      <c r="O120" s="265"/>
      <c r="P120" s="265"/>
      <c r="Q120" s="265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80"/>
      <c r="F121" s="247" t="s">
        <v>167</v>
      </c>
      <c r="G121" s="248"/>
      <c r="H121" s="248"/>
      <c r="I121" s="249"/>
      <c r="J121" s="181" t="s">
        <v>100</v>
      </c>
      <c r="K121" s="179">
        <v>1</v>
      </c>
      <c r="L121" s="308">
        <v>0</v>
      </c>
      <c r="M121" s="309"/>
      <c r="N121" s="252">
        <f>ROUND(K121*L121,2)</f>
        <v>0</v>
      </c>
      <c r="O121" s="253"/>
      <c r="P121" s="253"/>
      <c r="Q121" s="254"/>
      <c r="R121" s="133"/>
    </row>
    <row r="122" spans="1:63" ht="51.6" customHeight="1" x14ac:dyDescent="0.3">
      <c r="B122" s="130"/>
      <c r="C122" s="143">
        <f>C121+1</f>
        <v>8</v>
      </c>
      <c r="D122" s="143"/>
      <c r="E122" s="178"/>
      <c r="F122" s="247" t="s">
        <v>150</v>
      </c>
      <c r="G122" s="248"/>
      <c r="H122" s="248"/>
      <c r="I122" s="249"/>
      <c r="J122" s="174" t="s">
        <v>100</v>
      </c>
      <c r="K122" s="179">
        <v>1</v>
      </c>
      <c r="L122" s="308">
        <v>0</v>
      </c>
      <c r="M122" s="308"/>
      <c r="N122" s="252">
        <f t="shared" ref="N122" si="1">ROUND(K122*L122,2)</f>
        <v>0</v>
      </c>
      <c r="O122" s="253"/>
      <c r="P122" s="253"/>
      <c r="Q122" s="254"/>
      <c r="R122" s="133"/>
    </row>
    <row r="123" spans="1:63" ht="14.25" customHeight="1" x14ac:dyDescent="0.3">
      <c r="B123" s="182"/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5"/>
      <c r="O123" s="185"/>
      <c r="P123" s="185"/>
      <c r="Q123" s="185"/>
      <c r="R123" s="110"/>
    </row>
  </sheetData>
  <sheetProtection algorithmName="SHA-512" hashValue="5HUtrm6Go15YWwiTfQo7d8BDhR4rVJ3aXYhqAMeZjvGeL08SftWez8MC5hbUqMn2y3J1mm9C7eI7FYLak1JXGg==" saltValue="3VJfgzusfqsblR0qwIigWA==" spinCount="100000" sheet="1" objects="1" scenarios="1" selectLockedCells="1"/>
  <mergeCells count="71"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29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319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29" ht="24.95" customHeight="1" x14ac:dyDescent="0.3">
      <c r="B7" s="11"/>
      <c r="D7" s="18" t="s">
        <v>75</v>
      </c>
      <c r="F7" s="281" t="str">
        <f>Rekapitulace!J93</f>
        <v>Vedení elektrického výkonu z nové trafostanice do stávajících rozvodů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Rekapitulace!J93</f>
        <v>Vedení elektrického výkonu z nové trafostanice do stávajících rozvodů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5" t="str">
        <f>Rekapitulace!L79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4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29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$N$88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(H29)*$F$29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16"/>
      <c r="J30" s="216"/>
      <c r="M30" s="283"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(SUM($BG$90:$BG$90)+SUM($BG$109:$BG$109))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(SUM($BH$90:$BH$90)+SUM($BH$109:$BH$109))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(SUM($BI$90:$BI$90)+SUM($BI$109:$BI$109))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11" t="s">
        <v>78</v>
      </c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81" t="str">
        <f>$F$6</f>
        <v>Instalace nové fotovoltaické elektrárny s výkonem 1 765,8 kWp v areálu Cerekvice nad Bystřicí společnosti ČEPRO, a.s.</v>
      </c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R77" s="22"/>
    </row>
    <row r="78" spans="2:18" ht="24.95" customHeight="1" x14ac:dyDescent="0.3">
      <c r="B78" s="11"/>
      <c r="C78" s="18" t="s">
        <v>75</v>
      </c>
      <c r="F78" s="281" t="str">
        <f>F7</f>
        <v>Vedení elektrického výkonu z nové trafostanice do stávajících rozvodů</v>
      </c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R78" s="12"/>
    </row>
    <row r="79" spans="2:18" s="7" customFormat="1" ht="37.5" customHeight="1" x14ac:dyDescent="0.3">
      <c r="B79" s="21"/>
      <c r="C79" s="50" t="s">
        <v>76</v>
      </c>
      <c r="F79" s="233" t="str">
        <f>F8</f>
        <v>Vedení elektrického výkonu z nové trafostanice do stávajících rozvodů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J81" s="284"/>
      <c r="K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7">
        <f>ROUND($M$109,2)</f>
        <v>0</v>
      </c>
      <c r="O88" s="216"/>
      <c r="P88" s="216"/>
      <c r="Q88" s="216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5">
        <f>N110</f>
        <v>0</v>
      </c>
      <c r="O89" s="256"/>
      <c r="P89" s="256"/>
      <c r="Q89" s="256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42">
        <f>ROUND(SUM($N$89:$Q$89),2)</f>
        <v>0</v>
      </c>
      <c r="M91" s="243"/>
      <c r="N91" s="243"/>
      <c r="O91" s="243"/>
      <c r="P91" s="243"/>
      <c r="Q91" s="243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11" t="s">
        <v>83</v>
      </c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81" t="str">
        <f>$F$6</f>
        <v>Instalace nové fotovoltaické elektrárny s výkonem 1 765,8 kWp v areálu Cerekvice nad Bystřicí společnosti ČEPRO, a.s.</v>
      </c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R99" s="131"/>
    </row>
    <row r="100" spans="2:63" ht="24.95" customHeight="1" x14ac:dyDescent="0.3">
      <c r="B100" s="132"/>
      <c r="C100" s="18" t="s">
        <v>75</v>
      </c>
      <c r="F100" s="281" t="str">
        <f>F7</f>
        <v>Vedení elektrického výkonu z nové trafostanice do stávajících rozvodů</v>
      </c>
      <c r="G100" s="210"/>
      <c r="H100" s="210"/>
      <c r="I100" s="210"/>
      <c r="J100" s="210"/>
      <c r="K100" s="210"/>
      <c r="L100" s="210"/>
      <c r="M100" s="210"/>
      <c r="N100" s="210"/>
      <c r="O100" s="210"/>
      <c r="P100" s="210"/>
      <c r="R100" s="133"/>
    </row>
    <row r="101" spans="2:63" s="7" customFormat="1" ht="52.5" customHeight="1" x14ac:dyDescent="0.3">
      <c r="B101" s="130"/>
      <c r="C101" s="50" t="s">
        <v>76</v>
      </c>
      <c r="F101" s="233" t="str">
        <f>F8</f>
        <v>Vedení elektrického výkonu z nové trafostanice do stávajících rozvodů</v>
      </c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Cerekvice nad Bystřicí</v>
      </c>
      <c r="L103" s="18" t="s">
        <v>16</v>
      </c>
      <c r="M103" s="234">
        <f ca="1">IF($O$10="","",$O$10)</f>
        <v>45306</v>
      </c>
      <c r="N103" s="216"/>
      <c r="O103" s="216"/>
      <c r="P103" s="216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5" t="str">
        <f>$E$19</f>
        <v>YOUNG4ENERGY s.r.o.</v>
      </c>
      <c r="N105" s="216"/>
      <c r="O105" s="216"/>
      <c r="P105" s="216"/>
      <c r="Q105" s="216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5" t="str">
        <f>$E$22</f>
        <v>YOUNG4ENERGY s.r.o.</v>
      </c>
      <c r="N106" s="216"/>
      <c r="O106" s="216"/>
      <c r="P106" s="216"/>
      <c r="Q106" s="216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0" t="s">
        <v>86</v>
      </c>
      <c r="G108" s="261"/>
      <c r="H108" s="261"/>
      <c r="I108" s="261"/>
      <c r="J108" s="165" t="s">
        <v>87</v>
      </c>
      <c r="K108" s="165" t="s">
        <v>88</v>
      </c>
      <c r="L108" s="260" t="s">
        <v>89</v>
      </c>
      <c r="M108" s="261"/>
      <c r="N108" s="260" t="s">
        <v>90</v>
      </c>
      <c r="O108" s="261"/>
      <c r="P108" s="261"/>
      <c r="Q108" s="28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18">
        <f>N110</f>
        <v>0</v>
      </c>
      <c r="N109" s="318"/>
      <c r="O109" s="318"/>
      <c r="P109" s="318"/>
      <c r="Q109" s="318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198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87">
        <f>N111+N116+N118+N120+N123</f>
        <v>0</v>
      </c>
      <c r="O110" s="287"/>
      <c r="P110" s="287"/>
      <c r="Q110" s="287"/>
      <c r="R110" s="131"/>
    </row>
    <row r="111" spans="2:63" ht="19.5" customHeight="1" x14ac:dyDescent="0.3">
      <c r="B111" s="130"/>
      <c r="C111" s="107"/>
      <c r="D111" s="112" t="s">
        <v>199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6">
        <f>SUM(N112:Q115)</f>
        <v>0</v>
      </c>
      <c r="O111" s="246"/>
      <c r="P111" s="246"/>
      <c r="Q111" s="246"/>
      <c r="R111" s="131"/>
    </row>
    <row r="112" spans="2:63" s="7" customFormat="1" ht="30" customHeight="1" x14ac:dyDescent="0.3">
      <c r="B112" s="130"/>
      <c r="C112" s="120">
        <v>1</v>
      </c>
      <c r="D112" s="122"/>
      <c r="E112" s="173"/>
      <c r="F112" s="310" t="s">
        <v>225</v>
      </c>
      <c r="G112" s="311"/>
      <c r="H112" s="311"/>
      <c r="I112" s="311"/>
      <c r="J112" s="174" t="s">
        <v>100</v>
      </c>
      <c r="K112" s="121">
        <v>1</v>
      </c>
      <c r="L112" s="258">
        <v>0</v>
      </c>
      <c r="M112" s="259"/>
      <c r="N112" s="270">
        <f t="shared" ref="N112:N115" si="0">ROUND(L112*K112,2)</f>
        <v>0</v>
      </c>
      <c r="O112" s="271"/>
      <c r="P112" s="271"/>
      <c r="Q112" s="271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3"/>
      <c r="F113" s="310" t="s">
        <v>205</v>
      </c>
      <c r="G113" s="311"/>
      <c r="H113" s="311"/>
      <c r="I113" s="311"/>
      <c r="J113" s="174" t="s">
        <v>100</v>
      </c>
      <c r="K113" s="121">
        <v>1</v>
      </c>
      <c r="L113" s="258">
        <v>0</v>
      </c>
      <c r="M113" s="259"/>
      <c r="N113" s="270">
        <f t="shared" si="0"/>
        <v>0</v>
      </c>
      <c r="O113" s="271"/>
      <c r="P113" s="271"/>
      <c r="Q113" s="271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73"/>
      <c r="F114" s="310" t="s">
        <v>235</v>
      </c>
      <c r="G114" s="311"/>
      <c r="H114" s="311"/>
      <c r="I114" s="311"/>
      <c r="J114" s="174" t="s">
        <v>100</v>
      </c>
      <c r="K114" s="121">
        <v>1</v>
      </c>
      <c r="L114" s="258">
        <v>0</v>
      </c>
      <c r="M114" s="259"/>
      <c r="N114" s="270">
        <f t="shared" si="0"/>
        <v>0</v>
      </c>
      <c r="O114" s="271"/>
      <c r="P114" s="271"/>
      <c r="Q114" s="271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73"/>
      <c r="F115" s="310" t="s">
        <v>206</v>
      </c>
      <c r="G115" s="311"/>
      <c r="H115" s="311"/>
      <c r="I115" s="311"/>
      <c r="J115" s="174" t="s">
        <v>100</v>
      </c>
      <c r="K115" s="121">
        <v>1</v>
      </c>
      <c r="L115" s="258">
        <v>0</v>
      </c>
      <c r="M115" s="259"/>
      <c r="N115" s="270">
        <f t="shared" si="0"/>
        <v>0</v>
      </c>
      <c r="O115" s="271"/>
      <c r="P115" s="271"/>
      <c r="Q115" s="271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234</v>
      </c>
      <c r="E116" s="112"/>
      <c r="F116" s="177"/>
      <c r="G116" s="177"/>
      <c r="H116" s="177"/>
      <c r="I116" s="177"/>
      <c r="J116" s="112"/>
      <c r="K116" s="112"/>
      <c r="L116" s="112"/>
      <c r="M116" s="112"/>
      <c r="N116" s="257">
        <f>SUM(N117)</f>
        <v>0</v>
      </c>
      <c r="O116" s="257"/>
      <c r="P116" s="257"/>
      <c r="Q116" s="257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73"/>
      <c r="F117" s="313" t="s">
        <v>207</v>
      </c>
      <c r="G117" s="314" t="s">
        <v>200</v>
      </c>
      <c r="H117" s="314" t="s">
        <v>200</v>
      </c>
      <c r="I117" s="314" t="s">
        <v>200</v>
      </c>
      <c r="J117" s="174" t="s">
        <v>100</v>
      </c>
      <c r="K117" s="121">
        <v>1</v>
      </c>
      <c r="L117" s="258">
        <v>0</v>
      </c>
      <c r="M117" s="259"/>
      <c r="N117" s="270">
        <f t="shared" ref="N117" si="2">ROUND(L117*K117,2)</f>
        <v>0</v>
      </c>
      <c r="O117" s="315"/>
      <c r="P117" s="315"/>
      <c r="Q117" s="315"/>
      <c r="R117" s="131"/>
    </row>
    <row r="118" spans="1:63" s="7" customFormat="1" ht="18" customHeight="1" x14ac:dyDescent="0.3">
      <c r="B118" s="130"/>
      <c r="C118" s="113"/>
      <c r="D118" s="112" t="s">
        <v>201</v>
      </c>
      <c r="E118" s="112"/>
      <c r="F118" s="177"/>
      <c r="G118" s="177"/>
      <c r="H118" s="177"/>
      <c r="I118" s="177"/>
      <c r="J118" s="112"/>
      <c r="K118" s="112"/>
      <c r="L118" s="112"/>
      <c r="M118" s="112"/>
      <c r="N118" s="257">
        <f>SUM(N119)</f>
        <v>0</v>
      </c>
      <c r="O118" s="257"/>
      <c r="P118" s="257"/>
      <c r="Q118" s="257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8"/>
      <c r="F119" s="262" t="s">
        <v>241</v>
      </c>
      <c r="G119" s="263"/>
      <c r="H119" s="263"/>
      <c r="I119" s="264"/>
      <c r="J119" s="174" t="s">
        <v>100</v>
      </c>
      <c r="K119" s="179">
        <v>1</v>
      </c>
      <c r="L119" s="308">
        <v>0</v>
      </c>
      <c r="M119" s="309"/>
      <c r="N119" s="252">
        <f t="shared" ref="N119" si="3">ROUND(L119*K119,2)</f>
        <v>0</v>
      </c>
      <c r="O119" s="253"/>
      <c r="P119" s="253"/>
      <c r="Q119" s="254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212</v>
      </c>
      <c r="E120" s="112"/>
      <c r="F120" s="177"/>
      <c r="G120" s="177"/>
      <c r="H120" s="177"/>
      <c r="I120" s="177"/>
      <c r="J120" s="112"/>
      <c r="K120" s="112"/>
      <c r="L120" s="112"/>
      <c r="M120" s="112"/>
      <c r="N120" s="265">
        <f>SUM(N121:Q122)</f>
        <v>0</v>
      </c>
      <c r="O120" s="265"/>
      <c r="P120" s="265"/>
      <c r="Q120" s="265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80"/>
      <c r="F121" s="247" t="s">
        <v>167</v>
      </c>
      <c r="G121" s="248"/>
      <c r="H121" s="248"/>
      <c r="I121" s="249"/>
      <c r="J121" s="181" t="s">
        <v>100</v>
      </c>
      <c r="K121" s="179">
        <v>1</v>
      </c>
      <c r="L121" s="308">
        <v>0</v>
      </c>
      <c r="M121" s="309"/>
      <c r="N121" s="252">
        <f>ROUND(K121*L121,2)</f>
        <v>0</v>
      </c>
      <c r="O121" s="253"/>
      <c r="P121" s="253"/>
      <c r="Q121" s="254"/>
      <c r="R121" s="133"/>
    </row>
    <row r="122" spans="1:63" ht="72" customHeight="1" x14ac:dyDescent="0.3">
      <c r="B122" s="130"/>
      <c r="C122" s="143">
        <f>C121+1</f>
        <v>8</v>
      </c>
      <c r="D122" s="143"/>
      <c r="E122" s="178"/>
      <c r="F122" s="247" t="s">
        <v>150</v>
      </c>
      <c r="G122" s="248"/>
      <c r="H122" s="248"/>
      <c r="I122" s="249"/>
      <c r="J122" s="174" t="s">
        <v>100</v>
      </c>
      <c r="K122" s="179">
        <v>1</v>
      </c>
      <c r="L122" s="308">
        <v>0</v>
      </c>
      <c r="M122" s="308"/>
      <c r="N122" s="252">
        <f t="shared" ref="N122" si="4">ROUND(K122*L122,2)</f>
        <v>0</v>
      </c>
      <c r="O122" s="253"/>
      <c r="P122" s="253"/>
      <c r="Q122" s="254"/>
      <c r="R122" s="133"/>
    </row>
    <row r="123" spans="1:63" ht="18.75" customHeight="1" x14ac:dyDescent="0.3">
      <c r="A123" s="7"/>
      <c r="B123" s="130"/>
      <c r="C123" s="113"/>
      <c r="D123" s="112" t="s">
        <v>224</v>
      </c>
      <c r="E123" s="112"/>
      <c r="F123" s="198"/>
      <c r="G123" s="198"/>
      <c r="H123" s="198"/>
      <c r="I123" s="198"/>
      <c r="J123" s="112"/>
      <c r="K123" s="112"/>
      <c r="L123" s="112"/>
      <c r="M123" s="112"/>
      <c r="N123" s="265">
        <f>SUM(N124)</f>
        <v>0</v>
      </c>
      <c r="O123" s="265"/>
      <c r="P123" s="265"/>
      <c r="Q123" s="265"/>
      <c r="R123" s="133"/>
    </row>
    <row r="124" spans="1:63" ht="60.75" customHeight="1" x14ac:dyDescent="0.3">
      <c r="A124" s="7"/>
      <c r="B124" s="130"/>
      <c r="C124" s="143">
        <f>C122+1</f>
        <v>9</v>
      </c>
      <c r="D124" s="143"/>
      <c r="E124" s="180"/>
      <c r="F124" s="247" t="s">
        <v>223</v>
      </c>
      <c r="G124" s="248"/>
      <c r="H124" s="248"/>
      <c r="I124" s="249"/>
      <c r="J124" s="181" t="s">
        <v>100</v>
      </c>
      <c r="K124" s="179">
        <v>1</v>
      </c>
      <c r="L124" s="308">
        <v>0</v>
      </c>
      <c r="M124" s="309"/>
      <c r="N124" s="252">
        <f>ROUND(K124*L124,2)</f>
        <v>0</v>
      </c>
      <c r="O124" s="253"/>
      <c r="P124" s="253"/>
      <c r="Q124" s="254"/>
      <c r="R124" s="133"/>
    </row>
    <row r="125" spans="1:63" ht="14.25" customHeight="1" x14ac:dyDescent="0.3">
      <c r="B125" s="182"/>
      <c r="C125" s="183"/>
      <c r="D125" s="183"/>
      <c r="E125" s="183"/>
      <c r="F125" s="183"/>
      <c r="G125" s="183"/>
      <c r="H125" s="183"/>
      <c r="I125" s="183"/>
      <c r="J125" s="183"/>
      <c r="K125" s="183"/>
      <c r="L125" s="183"/>
      <c r="M125" s="183"/>
      <c r="N125" s="183"/>
      <c r="O125" s="183"/>
      <c r="P125" s="183"/>
      <c r="Q125" s="183"/>
      <c r="R125" s="110"/>
    </row>
  </sheetData>
  <sheetProtection algorithmName="SHA-512" hashValue="ZhrnV6tR/3+9XKZ1xj1tc3+azRcXQqvAiGCLMAKv2QOFKhBReTNNRGQfgD+K9Bhy3MV3JWvoTyWDLPqWtWpDSA==" saltValue="zeWZQrK4Z1sn9ydBsqRu5w==" spinCount="100000" sheet="1" objects="1" scenarios="1" selectLockedCells="1"/>
  <mergeCells count="88"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N110:Q110"/>
    <mergeCell ref="N111:Q111"/>
    <mergeCell ref="L112:M112"/>
    <mergeCell ref="N112:Q112"/>
    <mergeCell ref="L113:M113"/>
    <mergeCell ref="N113:Q113"/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37"/>
  <sheetViews>
    <sheetView showGridLines="0" zoomScaleNormal="100" zoomScaleSheetLayoutView="115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7" customFormat="1" ht="22.5" customHeight="1" x14ac:dyDescent="0.3">
      <c r="B1" s="196"/>
      <c r="C1" s="196"/>
      <c r="D1" s="3" t="s">
        <v>0</v>
      </c>
      <c r="E1" s="196"/>
      <c r="F1" s="4" t="s">
        <v>106</v>
      </c>
      <c r="G1" s="4"/>
      <c r="H1" s="282" t="s">
        <v>107</v>
      </c>
      <c r="I1" s="282"/>
      <c r="J1" s="282"/>
      <c r="K1" s="282"/>
      <c r="L1" s="4" t="s">
        <v>108</v>
      </c>
      <c r="M1" s="196"/>
      <c r="N1" s="196"/>
      <c r="O1" s="3" t="s">
        <v>73</v>
      </c>
      <c r="P1" s="196"/>
      <c r="Q1" s="196"/>
      <c r="R1" s="196"/>
      <c r="S1" s="4" t="s">
        <v>109</v>
      </c>
      <c r="T1" s="4"/>
    </row>
    <row r="2" spans="2:46" ht="37.5" customHeight="1" x14ac:dyDescent="0.3">
      <c r="C2" s="293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319" t="s">
        <v>3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11" t="s">
        <v>74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81" t="str">
        <f>Rekapitulace!$K$6</f>
        <v>Instalace nové fotovoltaické elektrárny s výkonem 1 765,8 kWp v areálu Cerekvice nad Bystřicí společnosti ČEPRO, a.s.</v>
      </c>
      <c r="G6" s="210"/>
      <c r="H6" s="210"/>
      <c r="I6" s="210"/>
      <c r="J6" s="210"/>
      <c r="K6" s="210"/>
      <c r="L6" s="210"/>
      <c r="M6" s="210"/>
      <c r="N6" s="210"/>
      <c r="O6" s="210"/>
      <c r="P6" s="210"/>
      <c r="R6" s="12"/>
    </row>
    <row r="7" spans="2:46" ht="24.95" customHeight="1" x14ac:dyDescent="0.3">
      <c r="B7" s="11"/>
      <c r="D7" s="18" t="s">
        <v>75</v>
      </c>
      <c r="F7" s="281" t="str">
        <f>Rekapitulace!J94</f>
        <v>Vedlejší náklady, Ostatní náklady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R7" s="12"/>
    </row>
    <row r="8" spans="2:46" s="7" customFormat="1" ht="33.75" customHeight="1" x14ac:dyDescent="0.3">
      <c r="B8" s="21"/>
      <c r="D8" s="17" t="s">
        <v>76</v>
      </c>
      <c r="F8" s="228" t="str">
        <f>Rekapitulace!J94</f>
        <v>Vedlejší náklady, Ostatní náklady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R8" s="22"/>
    </row>
    <row r="9" spans="2:46" s="7" customFormat="1" ht="15" customHeight="1" x14ac:dyDescent="0.3">
      <c r="B9" s="21"/>
      <c r="D9" s="18" t="s">
        <v>13</v>
      </c>
      <c r="F9" s="215"/>
      <c r="G9" s="215"/>
      <c r="H9" s="215"/>
      <c r="I9" s="215"/>
      <c r="J9" s="215"/>
      <c r="K9" s="215"/>
      <c r="L9" s="215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5" t="str">
        <f>Rekapitulace!K8</f>
        <v>Cerekvice nad Bystřicí</v>
      </c>
      <c r="G10" s="215"/>
      <c r="H10" s="215"/>
      <c r="I10" s="215"/>
      <c r="J10" s="215"/>
      <c r="K10" s="215"/>
      <c r="L10" s="215"/>
      <c r="M10" s="18" t="s">
        <v>16</v>
      </c>
      <c r="O10" s="294">
        <f ca="1">Rekapitulace!$AN$8</f>
        <v>45306</v>
      </c>
      <c r="P10" s="290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5">
        <f>IF(Rekapitulace!$AN$10="","",Rekapitulace!$AN$10)</f>
        <v>60193531</v>
      </c>
      <c r="P12" s="216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5" t="str">
        <f>IF(Rekapitulace!$AN$11="","",Rekapitulace!$AN$11)</f>
        <v>CZ60193531</v>
      </c>
      <c r="P13" s="216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89" t="str">
        <f>IF(Rekapitulace!$AN$13="","",Rekapitulace!$AN$13)</f>
        <v>Vyplň údaj</v>
      </c>
      <c r="P15" s="290"/>
      <c r="R15" s="22"/>
    </row>
    <row r="16" spans="2:46" s="7" customFormat="1" ht="18.75" customHeight="1" x14ac:dyDescent="0.3">
      <c r="B16" s="21"/>
      <c r="E16" s="289" t="str">
        <f>IF(Rekapitulace!$E$14="","",Rekapitulace!$E$14)</f>
        <v>Vyplň údaj</v>
      </c>
      <c r="F16" s="290"/>
      <c r="G16" s="290"/>
      <c r="H16" s="290"/>
      <c r="I16" s="290"/>
      <c r="J16" s="290"/>
      <c r="K16" s="290"/>
      <c r="L16" s="290"/>
      <c r="M16" s="18" t="s">
        <v>19</v>
      </c>
      <c r="O16" s="289" t="str">
        <f>IF(Rekapitulace!$AN$14="","",Rekapitulace!$AN$14)</f>
        <v>Vyplň údaj</v>
      </c>
      <c r="P16" s="290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5" t="str">
        <f>IF(Rekapitulace!$AN$16="","",Rekapitulace!$AN$16)</f>
        <v>04083351</v>
      </c>
      <c r="P18" s="216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5" t="str">
        <f>IF(Rekapitulace!$AN$17="","",Rekapitulace!$AN$17)</f>
        <v>CZ04083351</v>
      </c>
      <c r="P19" s="216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5" t="str">
        <f>IF(Rekapitulace!$AN$19="","",Rekapitulace!$AN$19)</f>
        <v>04083351</v>
      </c>
      <c r="P21" s="216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5" t="str">
        <f>IF(Rekapitulace!$AN$20="","",Rekapitulace!$AN$20)</f>
        <v>CZ04083351</v>
      </c>
      <c r="P22" s="216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14">
        <f>$N$88</f>
        <v>0</v>
      </c>
      <c r="N25" s="216"/>
      <c r="O25" s="216"/>
      <c r="P25" s="216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2">
        <f>ROUND($M$25,2)</f>
        <v>0</v>
      </c>
      <c r="N27" s="216"/>
      <c r="O27" s="216"/>
      <c r="P27" s="216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83">
        <f>M27</f>
        <v>0</v>
      </c>
      <c r="I29" s="216"/>
      <c r="J29" s="216"/>
      <c r="M29" s="283">
        <f>H29*F29</f>
        <v>0</v>
      </c>
      <c r="N29" s="216"/>
      <c r="O29" s="216"/>
      <c r="P29" s="216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83">
        <v>0</v>
      </c>
      <c r="I30" s="216"/>
      <c r="J30" s="216"/>
      <c r="M30" s="283">
        <v>0</v>
      </c>
      <c r="N30" s="216"/>
      <c r="O30" s="216"/>
      <c r="P30" s="216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83">
        <f>(SUM($BG$91:$BG$91)+SUM($BG$109:$BG$127))</f>
        <v>0</v>
      </c>
      <c r="I31" s="216"/>
      <c r="J31" s="216"/>
      <c r="M31" s="283">
        <v>0</v>
      </c>
      <c r="N31" s="216"/>
      <c r="O31" s="216"/>
      <c r="P31" s="216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83">
        <f>(SUM($BH$91:$BH$91)+SUM($BH$109:$BH$127))</f>
        <v>0</v>
      </c>
      <c r="I32" s="216"/>
      <c r="J32" s="216"/>
      <c r="M32" s="283">
        <v>0</v>
      </c>
      <c r="N32" s="216"/>
      <c r="O32" s="216"/>
      <c r="P32" s="216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83">
        <f>(SUM($BI$91:$BI$91)+SUM($BI$109:$BI$127))</f>
        <v>0</v>
      </c>
      <c r="I33" s="216"/>
      <c r="J33" s="216"/>
      <c r="M33" s="283">
        <v>0</v>
      </c>
      <c r="N33" s="216"/>
      <c r="O33" s="216"/>
      <c r="P33" s="216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85">
        <f>ROUND(SUM($M$27:$M$33),2)</f>
        <v>0</v>
      </c>
      <c r="M35" s="243"/>
      <c r="N35" s="243"/>
      <c r="O35" s="243"/>
      <c r="P35" s="243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11" t="s">
        <v>78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81" t="str">
        <f>$F$6</f>
        <v>Instalace nové fotovoltaické elektrárny s výkonem 1 765,8 kWp v areálu Cerekvice nad Bystřicí společnosti ČEPRO, a.s.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R78" s="22"/>
    </row>
    <row r="79" spans="2:18" s="7" customFormat="1" ht="37.5" customHeight="1" x14ac:dyDescent="0.3">
      <c r="B79" s="21"/>
      <c r="C79" s="50" t="s">
        <v>75</v>
      </c>
      <c r="F79" s="233" t="str">
        <f>$F$8</f>
        <v>Vedlejší náklady, Ostatní náklady</v>
      </c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84" t="str">
        <f>$F$10</f>
        <v>Cerekvice nad Bystřicí</v>
      </c>
      <c r="G81" s="284"/>
      <c r="H81" s="284"/>
      <c r="I81" s="284"/>
      <c r="L81" s="18" t="s">
        <v>16</v>
      </c>
      <c r="M81" s="234">
        <f ca="1">IF($O$10="","",$O$10)</f>
        <v>45306</v>
      </c>
      <c r="N81" s="216"/>
      <c r="O81" s="216"/>
      <c r="P81" s="216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5" t="str">
        <f>$E$19</f>
        <v>YOUNG4ENERGY s.r.o.</v>
      </c>
      <c r="N83" s="216"/>
      <c r="O83" s="216"/>
      <c r="P83" s="216"/>
      <c r="Q83" s="216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5" t="str">
        <f>$E$22</f>
        <v>YOUNG4ENERGY s.r.o.</v>
      </c>
      <c r="N84" s="216"/>
      <c r="O84" s="216"/>
      <c r="P84" s="216"/>
      <c r="Q84" s="216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88" t="s">
        <v>79</v>
      </c>
      <c r="D86" s="243"/>
      <c r="E86" s="243"/>
      <c r="F86" s="243"/>
      <c r="G86" s="243"/>
      <c r="H86" s="29"/>
      <c r="I86" s="29"/>
      <c r="J86" s="29"/>
      <c r="K86" s="29"/>
      <c r="L86" s="29"/>
      <c r="M86" s="29"/>
      <c r="N86" s="291" t="s">
        <v>80</v>
      </c>
      <c r="O86" s="216"/>
      <c r="P86" s="216"/>
      <c r="Q86" s="216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37">
        <f>ROUND($N$89+N90,2)</f>
        <v>0</v>
      </c>
      <c r="O88" s="216"/>
      <c r="P88" s="216"/>
      <c r="Q88" s="216"/>
      <c r="R88" s="22"/>
      <c r="AU88" s="7" t="s">
        <v>82</v>
      </c>
    </row>
    <row r="89" spans="2:47" s="63" customFormat="1" ht="25.5" customHeight="1" x14ac:dyDescent="0.35">
      <c r="B89" s="89"/>
      <c r="D89" s="101" t="s">
        <v>119</v>
      </c>
      <c r="N89" s="255">
        <f>ROUND($N$110,2)</f>
        <v>0</v>
      </c>
      <c r="O89" s="256"/>
      <c r="P89" s="256"/>
      <c r="Q89" s="256"/>
      <c r="R89" s="90"/>
    </row>
    <row r="90" spans="2:47" s="75" customFormat="1" ht="21" customHeight="1" x14ac:dyDescent="0.35">
      <c r="B90" s="91"/>
      <c r="C90" s="63"/>
      <c r="D90" s="101" t="s">
        <v>126</v>
      </c>
      <c r="E90" s="63"/>
      <c r="F90" s="63"/>
      <c r="G90" s="63"/>
      <c r="H90" s="63"/>
      <c r="I90" s="63"/>
      <c r="J90" s="63"/>
      <c r="K90" s="63"/>
      <c r="L90" s="63"/>
      <c r="M90" s="63"/>
      <c r="N90" s="255">
        <f>ROUND($N$133,2)</f>
        <v>0</v>
      </c>
      <c r="O90" s="256"/>
      <c r="P90" s="256"/>
      <c r="Q90" s="256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42">
        <f>ROUND(SUM($N$88),2)</f>
        <v>0</v>
      </c>
      <c r="M92" s="243"/>
      <c r="N92" s="243"/>
      <c r="O92" s="243"/>
      <c r="P92" s="243"/>
      <c r="Q92" s="243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11" t="s">
        <v>83</v>
      </c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81" t="str">
        <f>$F$6</f>
        <v>Instalace nové fotovoltaické elektrárny s výkonem 1 765,8 kWp v areálu Cerekvice nad Bystřicí společnosti ČEPRO, a.s.</v>
      </c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R100" s="22"/>
    </row>
    <row r="101" spans="2:64" s="7" customFormat="1" ht="37.5" customHeight="1" x14ac:dyDescent="0.3">
      <c r="B101" s="21"/>
      <c r="C101" s="50" t="s">
        <v>75</v>
      </c>
      <c r="F101" s="233" t="str">
        <f>$F$8</f>
        <v>Vedlejší náklady, Ostatní náklady</v>
      </c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84" t="str">
        <f>$F$10</f>
        <v>Cerekvice nad Bystřicí</v>
      </c>
      <c r="G103" s="284"/>
      <c r="H103" s="284"/>
      <c r="I103" s="284"/>
      <c r="L103" s="18" t="s">
        <v>16</v>
      </c>
      <c r="M103" s="234">
        <f ca="1">IF($O$10="","",$O$10)</f>
        <v>45306</v>
      </c>
      <c r="N103" s="216"/>
      <c r="O103" s="216"/>
      <c r="P103" s="216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5" t="str">
        <f>$E$19</f>
        <v>YOUNG4ENERGY s.r.o.</v>
      </c>
      <c r="N105" s="216"/>
      <c r="O105" s="216"/>
      <c r="P105" s="216"/>
      <c r="Q105" s="216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5" t="str">
        <f>$E$22</f>
        <v>YOUNG4ENERGY s.r.o.</v>
      </c>
      <c r="N106" s="216"/>
      <c r="O106" s="216"/>
      <c r="P106" s="216"/>
      <c r="Q106" s="216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60" t="s">
        <v>86</v>
      </c>
      <c r="G108" s="261"/>
      <c r="H108" s="261"/>
      <c r="I108" s="261"/>
      <c r="J108" s="165" t="s">
        <v>87</v>
      </c>
      <c r="K108" s="165" t="s">
        <v>88</v>
      </c>
      <c r="L108" s="260" t="s">
        <v>89</v>
      </c>
      <c r="M108" s="261"/>
      <c r="N108" s="260" t="s">
        <v>90</v>
      </c>
      <c r="O108" s="261"/>
      <c r="P108" s="261"/>
      <c r="Q108" s="280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37">
        <f>N110+N133</f>
        <v>0</v>
      </c>
      <c r="O109" s="216"/>
      <c r="P109" s="216"/>
      <c r="Q109" s="216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87">
        <f>N111</f>
        <v>0</v>
      </c>
      <c r="O110" s="266"/>
      <c r="P110" s="266"/>
      <c r="Q110" s="266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127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5">
        <f>SUM(N112:Q132)</f>
        <v>0</v>
      </c>
      <c r="O111" s="266"/>
      <c r="P111" s="266"/>
      <c r="Q111" s="266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323" t="s">
        <v>132</v>
      </c>
      <c r="G112" s="324"/>
      <c r="H112" s="324"/>
      <c r="I112" s="325"/>
      <c r="J112" s="158" t="s">
        <v>100</v>
      </c>
      <c r="K112" s="121">
        <v>1</v>
      </c>
      <c r="L112" s="272">
        <v>0</v>
      </c>
      <c r="M112" s="273"/>
      <c r="N112" s="252">
        <f t="shared" ref="N112:N129" si="0">ROUND(L112*K112,2)</f>
        <v>0</v>
      </c>
      <c r="O112" s="253"/>
      <c r="P112" s="253"/>
      <c r="Q112" s="254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67" t="s">
        <v>133</v>
      </c>
      <c r="G113" s="268"/>
      <c r="H113" s="268"/>
      <c r="I113" s="269"/>
      <c r="J113" s="158" t="s">
        <v>100</v>
      </c>
      <c r="K113" s="121">
        <v>1</v>
      </c>
      <c r="L113" s="258">
        <v>0</v>
      </c>
      <c r="M113" s="259"/>
      <c r="N113" s="252">
        <f t="shared" si="0"/>
        <v>0</v>
      </c>
      <c r="O113" s="253"/>
      <c r="P113" s="253"/>
      <c r="Q113" s="254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67" t="s">
        <v>129</v>
      </c>
      <c r="G114" s="268"/>
      <c r="H114" s="268"/>
      <c r="I114" s="269"/>
      <c r="J114" s="158" t="s">
        <v>100</v>
      </c>
      <c r="K114" s="121">
        <v>1</v>
      </c>
      <c r="L114" s="258">
        <v>0</v>
      </c>
      <c r="M114" s="259"/>
      <c r="N114" s="252">
        <f t="shared" si="0"/>
        <v>0</v>
      </c>
      <c r="O114" s="253"/>
      <c r="P114" s="253"/>
      <c r="Q114" s="254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67" t="s">
        <v>120</v>
      </c>
      <c r="G115" s="268"/>
      <c r="H115" s="268"/>
      <c r="I115" s="269"/>
      <c r="J115" s="158" t="s">
        <v>100</v>
      </c>
      <c r="K115" s="121">
        <v>1</v>
      </c>
      <c r="L115" s="258">
        <v>0</v>
      </c>
      <c r="M115" s="259"/>
      <c r="N115" s="252">
        <f t="shared" si="0"/>
        <v>0</v>
      </c>
      <c r="O115" s="253"/>
      <c r="P115" s="253"/>
      <c r="Q115" s="254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67" t="s">
        <v>121</v>
      </c>
      <c r="G116" s="268"/>
      <c r="H116" s="268"/>
      <c r="I116" s="269"/>
      <c r="J116" s="158" t="s">
        <v>100</v>
      </c>
      <c r="K116" s="121">
        <v>1</v>
      </c>
      <c r="L116" s="258">
        <v>0</v>
      </c>
      <c r="M116" s="259"/>
      <c r="N116" s="252">
        <f t="shared" si="0"/>
        <v>0</v>
      </c>
      <c r="O116" s="253"/>
      <c r="P116" s="253"/>
      <c r="Q116" s="254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67" t="s">
        <v>134</v>
      </c>
      <c r="G117" s="268"/>
      <c r="H117" s="268"/>
      <c r="I117" s="269"/>
      <c r="J117" s="158" t="s">
        <v>100</v>
      </c>
      <c r="K117" s="121">
        <v>1</v>
      </c>
      <c r="L117" s="258">
        <v>0</v>
      </c>
      <c r="M117" s="259"/>
      <c r="N117" s="252">
        <f t="shared" si="0"/>
        <v>0</v>
      </c>
      <c r="O117" s="253"/>
      <c r="P117" s="253"/>
      <c r="Q117" s="254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67" t="s">
        <v>122</v>
      </c>
      <c r="G118" s="268"/>
      <c r="H118" s="268"/>
      <c r="I118" s="269"/>
      <c r="J118" s="158" t="s">
        <v>100</v>
      </c>
      <c r="K118" s="121">
        <v>1</v>
      </c>
      <c r="L118" s="258">
        <v>0</v>
      </c>
      <c r="M118" s="259"/>
      <c r="N118" s="252">
        <f t="shared" si="0"/>
        <v>0</v>
      </c>
      <c r="O118" s="253"/>
      <c r="P118" s="253"/>
      <c r="Q118" s="254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67" t="s">
        <v>123</v>
      </c>
      <c r="G119" s="268"/>
      <c r="H119" s="268"/>
      <c r="I119" s="269"/>
      <c r="J119" s="158" t="s">
        <v>100</v>
      </c>
      <c r="K119" s="121">
        <v>1</v>
      </c>
      <c r="L119" s="258">
        <v>0</v>
      </c>
      <c r="M119" s="259"/>
      <c r="N119" s="252">
        <f t="shared" si="0"/>
        <v>0</v>
      </c>
      <c r="O119" s="253"/>
      <c r="P119" s="253"/>
      <c r="Q119" s="254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67" t="s">
        <v>151</v>
      </c>
      <c r="G120" s="268"/>
      <c r="H120" s="268"/>
      <c r="I120" s="269"/>
      <c r="J120" s="158" t="s">
        <v>100</v>
      </c>
      <c r="K120" s="121">
        <v>1</v>
      </c>
      <c r="L120" s="326">
        <v>0</v>
      </c>
      <c r="M120" s="259"/>
      <c r="N120" s="252">
        <f t="shared" si="0"/>
        <v>0</v>
      </c>
      <c r="O120" s="253"/>
      <c r="P120" s="253"/>
      <c r="Q120" s="254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67" t="s">
        <v>152</v>
      </c>
      <c r="G121" s="268"/>
      <c r="H121" s="268"/>
      <c r="I121" s="269"/>
      <c r="J121" s="158" t="s">
        <v>100</v>
      </c>
      <c r="K121" s="121">
        <v>1</v>
      </c>
      <c r="L121" s="258">
        <v>0</v>
      </c>
      <c r="M121" s="259"/>
      <c r="N121" s="252">
        <f t="shared" si="0"/>
        <v>0</v>
      </c>
      <c r="O121" s="253"/>
      <c r="P121" s="253"/>
      <c r="Q121" s="254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67" t="s">
        <v>147</v>
      </c>
      <c r="G122" s="268"/>
      <c r="H122" s="268"/>
      <c r="I122" s="269"/>
      <c r="J122" s="158" t="s">
        <v>100</v>
      </c>
      <c r="K122" s="121">
        <v>1</v>
      </c>
      <c r="L122" s="258">
        <v>0</v>
      </c>
      <c r="M122" s="259"/>
      <c r="N122" s="252">
        <f t="shared" si="0"/>
        <v>0</v>
      </c>
      <c r="O122" s="253"/>
      <c r="P122" s="253"/>
      <c r="Q122" s="254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67" t="s">
        <v>148</v>
      </c>
      <c r="G123" s="268"/>
      <c r="H123" s="268"/>
      <c r="I123" s="269"/>
      <c r="J123" s="158" t="s">
        <v>100</v>
      </c>
      <c r="K123" s="121">
        <v>1</v>
      </c>
      <c r="L123" s="258">
        <v>0</v>
      </c>
      <c r="M123" s="259"/>
      <c r="N123" s="252">
        <f t="shared" si="0"/>
        <v>0</v>
      </c>
      <c r="O123" s="253"/>
      <c r="P123" s="253"/>
      <c r="Q123" s="254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67" t="s">
        <v>130</v>
      </c>
      <c r="G124" s="268"/>
      <c r="H124" s="268"/>
      <c r="I124" s="269"/>
      <c r="J124" s="158" t="s">
        <v>100</v>
      </c>
      <c r="K124" s="121">
        <v>1</v>
      </c>
      <c r="L124" s="258">
        <v>0</v>
      </c>
      <c r="M124" s="259"/>
      <c r="N124" s="252">
        <f t="shared" si="0"/>
        <v>0</v>
      </c>
      <c r="O124" s="253"/>
      <c r="P124" s="253"/>
      <c r="Q124" s="254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67" t="s">
        <v>124</v>
      </c>
      <c r="G125" s="268"/>
      <c r="H125" s="268"/>
      <c r="I125" s="269"/>
      <c r="J125" s="158" t="s">
        <v>100</v>
      </c>
      <c r="K125" s="121">
        <v>1</v>
      </c>
      <c r="L125" s="258">
        <v>0</v>
      </c>
      <c r="M125" s="259"/>
      <c r="N125" s="252">
        <f t="shared" si="0"/>
        <v>0</v>
      </c>
      <c r="O125" s="253"/>
      <c r="P125" s="253"/>
      <c r="Q125" s="254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67" t="s">
        <v>131</v>
      </c>
      <c r="G126" s="268"/>
      <c r="H126" s="268"/>
      <c r="I126" s="269"/>
      <c r="J126" s="158" t="s">
        <v>100</v>
      </c>
      <c r="K126" s="121">
        <v>1</v>
      </c>
      <c r="L126" s="258">
        <v>0</v>
      </c>
      <c r="M126" s="259"/>
      <c r="N126" s="252">
        <f t="shared" si="0"/>
        <v>0</v>
      </c>
      <c r="O126" s="253"/>
      <c r="P126" s="253"/>
      <c r="Q126" s="254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67" t="s">
        <v>125</v>
      </c>
      <c r="G127" s="268"/>
      <c r="H127" s="268"/>
      <c r="I127" s="269"/>
      <c r="J127" s="158" t="s">
        <v>100</v>
      </c>
      <c r="K127" s="121">
        <v>1</v>
      </c>
      <c r="L127" s="258">
        <v>0</v>
      </c>
      <c r="M127" s="259"/>
      <c r="N127" s="252">
        <f t="shared" si="0"/>
        <v>0</v>
      </c>
      <c r="O127" s="253"/>
      <c r="P127" s="253"/>
      <c r="Q127" s="254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67" t="s">
        <v>153</v>
      </c>
      <c r="G128" s="268"/>
      <c r="H128" s="268"/>
      <c r="I128" s="269"/>
      <c r="J128" s="159" t="s">
        <v>100</v>
      </c>
      <c r="K128" s="121">
        <v>1</v>
      </c>
      <c r="L128" s="272">
        <v>0</v>
      </c>
      <c r="M128" s="273"/>
      <c r="N128" s="252">
        <f t="shared" si="0"/>
        <v>0</v>
      </c>
      <c r="O128" s="253"/>
      <c r="P128" s="253"/>
      <c r="Q128" s="254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67" t="s">
        <v>154</v>
      </c>
      <c r="G129" s="268"/>
      <c r="H129" s="268"/>
      <c r="I129" s="269"/>
      <c r="J129" s="159" t="s">
        <v>100</v>
      </c>
      <c r="K129" s="121">
        <v>1</v>
      </c>
      <c r="L129" s="272">
        <v>0</v>
      </c>
      <c r="M129" s="273"/>
      <c r="N129" s="252">
        <f t="shared" si="0"/>
        <v>0</v>
      </c>
      <c r="O129" s="253"/>
      <c r="P129" s="253"/>
      <c r="Q129" s="254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67" t="s">
        <v>236</v>
      </c>
      <c r="G130" s="268"/>
      <c r="H130" s="268"/>
      <c r="I130" s="269"/>
      <c r="J130" s="159" t="s">
        <v>100</v>
      </c>
      <c r="K130" s="121">
        <v>1</v>
      </c>
      <c r="L130" s="272">
        <v>0</v>
      </c>
      <c r="M130" s="273"/>
      <c r="N130" s="252">
        <f t="shared" ref="N130:N132" si="3">ROUND(L130*K130,2)</f>
        <v>0</v>
      </c>
      <c r="O130" s="253"/>
      <c r="P130" s="253"/>
      <c r="Q130" s="254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67" t="s">
        <v>146</v>
      </c>
      <c r="G131" s="268"/>
      <c r="H131" s="268"/>
      <c r="I131" s="269"/>
      <c r="J131" s="159" t="s">
        <v>100</v>
      </c>
      <c r="K131" s="121">
        <v>1</v>
      </c>
      <c r="L131" s="272">
        <v>0</v>
      </c>
      <c r="M131" s="273"/>
      <c r="N131" s="252">
        <f t="shared" si="3"/>
        <v>0</v>
      </c>
      <c r="O131" s="253"/>
      <c r="P131" s="253"/>
      <c r="Q131" s="254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32.45" customHeight="1" x14ac:dyDescent="0.3">
      <c r="B132" s="21"/>
      <c r="C132" s="120">
        <f t="shared" si="2"/>
        <v>21</v>
      </c>
      <c r="D132" s="122"/>
      <c r="E132" s="155"/>
      <c r="F132" s="267" t="s">
        <v>243</v>
      </c>
      <c r="G132" s="268"/>
      <c r="H132" s="268"/>
      <c r="I132" s="269"/>
      <c r="J132" s="159" t="s">
        <v>100</v>
      </c>
      <c r="K132" s="121">
        <v>1</v>
      </c>
      <c r="L132" s="272">
        <v>0</v>
      </c>
      <c r="M132" s="273"/>
      <c r="N132" s="252">
        <f t="shared" si="3"/>
        <v>0</v>
      </c>
      <c r="O132" s="253"/>
      <c r="P132" s="253"/>
      <c r="Q132" s="254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126</v>
      </c>
      <c r="E133" s="101"/>
      <c r="F133" s="176"/>
      <c r="G133" s="176"/>
      <c r="H133" s="176"/>
      <c r="I133" s="176"/>
      <c r="J133" s="101"/>
      <c r="K133" s="101"/>
      <c r="L133" s="101"/>
      <c r="M133" s="101"/>
      <c r="N133" s="287">
        <f>N134</f>
        <v>0</v>
      </c>
      <c r="O133" s="266"/>
      <c r="P133" s="266"/>
      <c r="Q133" s="266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142</v>
      </c>
      <c r="E134" s="112"/>
      <c r="F134" s="169"/>
      <c r="G134" s="169"/>
      <c r="H134" s="169"/>
      <c r="I134" s="169"/>
      <c r="J134" s="112"/>
      <c r="K134" s="112"/>
      <c r="L134" s="112"/>
      <c r="M134" s="112"/>
      <c r="N134" s="265">
        <f>SUM(N135:Q136)</f>
        <v>0</v>
      </c>
      <c r="O134" s="266"/>
      <c r="P134" s="266"/>
      <c r="Q134" s="266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67" t="s">
        <v>139</v>
      </c>
      <c r="G135" s="268"/>
      <c r="H135" s="268"/>
      <c r="I135" s="269"/>
      <c r="J135" s="159" t="s">
        <v>100</v>
      </c>
      <c r="K135" s="121">
        <v>1</v>
      </c>
      <c r="L135" s="258">
        <v>0</v>
      </c>
      <c r="M135" s="259"/>
      <c r="N135" s="252">
        <f t="shared" ref="N135" si="4">ROUND(L135*K135,2)</f>
        <v>0</v>
      </c>
      <c r="O135" s="253"/>
      <c r="P135" s="253"/>
      <c r="Q135" s="254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20" t="s">
        <v>138</v>
      </c>
      <c r="G136" s="321"/>
      <c r="H136" s="321"/>
      <c r="I136" s="322"/>
      <c r="J136" s="159" t="s">
        <v>100</v>
      </c>
      <c r="K136" s="121">
        <v>1</v>
      </c>
      <c r="L136" s="258">
        <v>0</v>
      </c>
      <c r="M136" s="259"/>
      <c r="N136" s="252">
        <f t="shared" ref="N136" si="5">ROUND(L136*K136,2)</f>
        <v>0</v>
      </c>
      <c r="O136" s="253"/>
      <c r="P136" s="253"/>
      <c r="Q136" s="254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ht="14.25" customHeight="1" x14ac:dyDescent="0.3"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110"/>
    </row>
  </sheetData>
  <sheetProtection algorithmName="SHA-512" hashValue="8gw0y1rRP/GUS5Tc9YjrPbalRO4tRIQ8cnU9wXUzvx1fbCgOX5CJYH+pzUKfvDt6B9sUoQN3UHxcUm5pSjYVxg==" saltValue="3bDwIqP/CXt14PMnAcdx5g==" spinCount="100000" sheet="1" objects="1" scenarios="1" selectLockedCells="1"/>
  <mergeCells count="129"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SO01</vt:lpstr>
      <vt:lpstr>SO02</vt:lpstr>
      <vt:lpstr>SO03</vt:lpstr>
      <vt:lpstr>SO04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 Heneš</cp:lastModifiedBy>
  <cp:lastPrinted>2021-05-25T15:09:11Z</cp:lastPrinted>
  <dcterms:created xsi:type="dcterms:W3CDTF">2019-04-25T07:42:54Z</dcterms:created>
  <dcterms:modified xsi:type="dcterms:W3CDTF">2024-01-15T14:17:18Z</dcterms:modified>
</cp:coreProperties>
</file>